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060" tabRatio="782"/>
  </bookViews>
  <sheets>
    <sheet name="Degreasing-cleaning" sheetId="1" r:id="rId1"/>
    <sheet name="Non-ind-coat" sheetId="2" r:id="rId2"/>
    <sheet name="Indus-coat" sheetId="3" r:id="rId3"/>
    <sheet name="Misc-Solvents" sheetId="4" r:id="rId4"/>
    <sheet name="Agric pest" sheetId="8" r:id="rId5"/>
    <sheet name="Spills" sheetId="6" r:id="rId6"/>
    <sheet name="Total-Solvents" sheetId="7" r:id="rId7"/>
  </sheets>
  <calcPr calcId="125725"/>
</workbook>
</file>

<file path=xl/calcChain.xml><?xml version="1.0" encoding="utf-8"?>
<calcChain xmlns="http://schemas.openxmlformats.org/spreadsheetml/2006/main">
  <c r="AR26" i="1"/>
  <c r="AR12"/>
  <c r="AR13"/>
  <c r="AR14"/>
  <c r="AR15"/>
  <c r="AR16"/>
  <c r="AR17"/>
  <c r="AR18"/>
  <c r="AR19"/>
  <c r="AR20"/>
  <c r="AR21"/>
  <c r="AR22"/>
  <c r="AR23"/>
  <c r="AR24"/>
  <c r="AR11"/>
  <c r="N25" i="4"/>
  <c r="O10"/>
  <c r="O11"/>
  <c r="O12"/>
  <c r="O13"/>
  <c r="O14"/>
  <c r="O15"/>
  <c r="O16"/>
  <c r="O17"/>
  <c r="O18"/>
  <c r="O19"/>
  <c r="O20"/>
  <c r="O21"/>
  <c r="O22"/>
  <c r="O23"/>
  <c r="S10"/>
  <c r="L20" i="8"/>
  <c r="K20"/>
  <c r="L21"/>
  <c r="K21"/>
  <c r="L5"/>
  <c r="L6"/>
  <c r="L7"/>
  <c r="L8"/>
  <c r="L9"/>
  <c r="L10"/>
  <c r="L11"/>
  <c r="L12"/>
  <c r="L13"/>
  <c r="L14"/>
  <c r="L15"/>
  <c r="L16"/>
  <c r="L17"/>
  <c r="L18"/>
  <c r="L4"/>
  <c r="I12" i="1"/>
  <c r="I13"/>
  <c r="I27"/>
  <c r="I14"/>
  <c r="I15"/>
  <c r="I16"/>
  <c r="I17"/>
  <c r="I18"/>
  <c r="I19"/>
  <c r="I20"/>
  <c r="I21"/>
  <c r="I22"/>
  <c r="I23"/>
  <c r="I24"/>
  <c r="I26"/>
  <c r="I11"/>
  <c r="J11"/>
  <c r="L11"/>
  <c r="K12"/>
  <c r="K13"/>
  <c r="K14"/>
  <c r="K15"/>
  <c r="K16"/>
  <c r="K17"/>
  <c r="K30"/>
  <c r="K18"/>
  <c r="K19"/>
  <c r="K20"/>
  <c r="K21"/>
  <c r="K22"/>
  <c r="K23"/>
  <c r="K24"/>
  <c r="K26"/>
  <c r="K29"/>
  <c r="K11"/>
  <c r="Q11" i="4"/>
  <c r="Q12"/>
  <c r="S12"/>
  <c r="T12"/>
  <c r="Q13"/>
  <c r="Q14"/>
  <c r="Q15"/>
  <c r="Q16"/>
  <c r="Q27"/>
  <c r="Q17"/>
  <c r="Q18"/>
  <c r="Q19"/>
  <c r="Q20"/>
  <c r="S20"/>
  <c r="T20"/>
  <c r="Q21"/>
  <c r="Q22"/>
  <c r="Q23"/>
  <c r="Q25"/>
  <c r="R25"/>
  <c r="R28"/>
  <c r="Q10"/>
  <c r="S13"/>
  <c r="T13"/>
  <c r="S21"/>
  <c r="AF12" i="1"/>
  <c r="AF13"/>
  <c r="AF14"/>
  <c r="AF15"/>
  <c r="AF16"/>
  <c r="AF17"/>
  <c r="AF18"/>
  <c r="AF19"/>
  <c r="AF20"/>
  <c r="AF21"/>
  <c r="AF22"/>
  <c r="AF23"/>
  <c r="AF24"/>
  <c r="AF11"/>
  <c r="AD26"/>
  <c r="AF26"/>
  <c r="AE12"/>
  <c r="AG12"/>
  <c r="AH12"/>
  <c r="AE13"/>
  <c r="AG13"/>
  <c r="AH13"/>
  <c r="AE14"/>
  <c r="AE15"/>
  <c r="AG15"/>
  <c r="AH15"/>
  <c r="AE16"/>
  <c r="AE17"/>
  <c r="AG17"/>
  <c r="AH17"/>
  <c r="AE18"/>
  <c r="AG18"/>
  <c r="AH18"/>
  <c r="AE19"/>
  <c r="AG19"/>
  <c r="AH19"/>
  <c r="AE20"/>
  <c r="AE21"/>
  <c r="AG21"/>
  <c r="AH21"/>
  <c r="AE22"/>
  <c r="AE23"/>
  <c r="AG23"/>
  <c r="AH23"/>
  <c r="AE24"/>
  <c r="AG24"/>
  <c r="AH24"/>
  <c r="AE11"/>
  <c r="AG11"/>
  <c r="AH11"/>
  <c r="AE22" i="4"/>
  <c r="AE23"/>
  <c r="AE11"/>
  <c r="AE12"/>
  <c r="AE13"/>
  <c r="AE14"/>
  <c r="AE15"/>
  <c r="AE16"/>
  <c r="AE17"/>
  <c r="AE18"/>
  <c r="AE19"/>
  <c r="AE20"/>
  <c r="AE21"/>
  <c r="AE10"/>
  <c r="G12"/>
  <c r="H12"/>
  <c r="I12"/>
  <c r="G20"/>
  <c r="H20"/>
  <c r="I20"/>
  <c r="G25"/>
  <c r="H25"/>
  <c r="D18"/>
  <c r="D22"/>
  <c r="E22"/>
  <c r="D10"/>
  <c r="C11"/>
  <c r="D11"/>
  <c r="E11"/>
  <c r="C12"/>
  <c r="D12"/>
  <c r="C13"/>
  <c r="D13"/>
  <c r="C14"/>
  <c r="D14"/>
  <c r="C15"/>
  <c r="D15"/>
  <c r="E15"/>
  <c r="C16"/>
  <c r="D16"/>
  <c r="C17"/>
  <c r="D17"/>
  <c r="C18"/>
  <c r="C19"/>
  <c r="D19"/>
  <c r="C20"/>
  <c r="D20"/>
  <c r="C21"/>
  <c r="D21"/>
  <c r="E21"/>
  <c r="C22"/>
  <c r="C23"/>
  <c r="D23"/>
  <c r="C10"/>
  <c r="B25"/>
  <c r="C25"/>
  <c r="D25"/>
  <c r="BA23"/>
  <c r="AZ23"/>
  <c r="C10" i="6"/>
  <c r="E10"/>
  <c r="G10"/>
  <c r="I10"/>
  <c r="K10"/>
  <c r="M10"/>
  <c r="P10"/>
  <c r="R10"/>
  <c r="T10"/>
  <c r="C11"/>
  <c r="E11"/>
  <c r="G11"/>
  <c r="I11"/>
  <c r="K11"/>
  <c r="M11"/>
  <c r="P11"/>
  <c r="R11"/>
  <c r="T11"/>
  <c r="C12"/>
  <c r="E12"/>
  <c r="G12"/>
  <c r="I12"/>
  <c r="K12"/>
  <c r="M12"/>
  <c r="P12"/>
  <c r="R12"/>
  <c r="T12"/>
  <c r="C13"/>
  <c r="E13"/>
  <c r="G13"/>
  <c r="I13"/>
  <c r="K13"/>
  <c r="M13"/>
  <c r="P13"/>
  <c r="R13"/>
  <c r="T13"/>
  <c r="C14"/>
  <c r="E14"/>
  <c r="G14"/>
  <c r="I14"/>
  <c r="K14"/>
  <c r="M14"/>
  <c r="P14"/>
  <c r="R14"/>
  <c r="T14"/>
  <c r="C15"/>
  <c r="E15"/>
  <c r="G15"/>
  <c r="I15"/>
  <c r="K15"/>
  <c r="M15"/>
  <c r="P15"/>
  <c r="R15"/>
  <c r="T15"/>
  <c r="C16"/>
  <c r="E16"/>
  <c r="G16"/>
  <c r="I16"/>
  <c r="K16"/>
  <c r="M16"/>
  <c r="P16"/>
  <c r="R16"/>
  <c r="T16"/>
  <c r="C17"/>
  <c r="E17"/>
  <c r="G17"/>
  <c r="I17"/>
  <c r="K17"/>
  <c r="M17"/>
  <c r="P17"/>
  <c r="R17"/>
  <c r="T17"/>
  <c r="C18"/>
  <c r="E18"/>
  <c r="G18"/>
  <c r="I18"/>
  <c r="K18"/>
  <c r="M18"/>
  <c r="P18"/>
  <c r="R18"/>
  <c r="T18"/>
  <c r="C19"/>
  <c r="E19"/>
  <c r="G19"/>
  <c r="I19"/>
  <c r="K19"/>
  <c r="M19"/>
  <c r="P19"/>
  <c r="R19"/>
  <c r="T19"/>
  <c r="C20"/>
  <c r="E20"/>
  <c r="G20"/>
  <c r="I20"/>
  <c r="K20"/>
  <c r="M20"/>
  <c r="P20"/>
  <c r="R20"/>
  <c r="T20"/>
  <c r="C21"/>
  <c r="E21"/>
  <c r="G21"/>
  <c r="I21"/>
  <c r="K21"/>
  <c r="M21"/>
  <c r="P21"/>
  <c r="R21"/>
  <c r="T21"/>
  <c r="C22"/>
  <c r="E22"/>
  <c r="G22"/>
  <c r="I22"/>
  <c r="K22"/>
  <c r="M22"/>
  <c r="P22"/>
  <c r="R22"/>
  <c r="T22"/>
  <c r="C23"/>
  <c r="E23"/>
  <c r="G23"/>
  <c r="I23"/>
  <c r="K23"/>
  <c r="M23"/>
  <c r="P23"/>
  <c r="R23"/>
  <c r="T23"/>
  <c r="W11" i="4"/>
  <c r="W12"/>
  <c r="W13"/>
  <c r="W14"/>
  <c r="W15"/>
  <c r="W16"/>
  <c r="W17"/>
  <c r="W18"/>
  <c r="W19"/>
  <c r="W20"/>
  <c r="W21"/>
  <c r="W22"/>
  <c r="W23"/>
  <c r="W25"/>
  <c r="W10"/>
  <c r="Y11"/>
  <c r="Y12"/>
  <c r="Y13"/>
  <c r="Z13"/>
  <c r="Y14"/>
  <c r="Y15"/>
  <c r="Y16"/>
  <c r="Y17"/>
  <c r="Z17"/>
  <c r="AA17"/>
  <c r="Y18"/>
  <c r="Y19"/>
  <c r="Y20"/>
  <c r="Y21"/>
  <c r="Z21"/>
  <c r="AA21"/>
  <c r="Y22"/>
  <c r="Y23"/>
  <c r="Y10"/>
  <c r="X11"/>
  <c r="X12"/>
  <c r="X13"/>
  <c r="X14"/>
  <c r="X15"/>
  <c r="X16"/>
  <c r="X17"/>
  <c r="X18"/>
  <c r="Z18"/>
  <c r="AA18"/>
  <c r="X19"/>
  <c r="X20"/>
  <c r="X21"/>
  <c r="X22"/>
  <c r="X23"/>
  <c r="X10"/>
  <c r="CO12" i="3"/>
  <c r="CO13"/>
  <c r="CO14"/>
  <c r="CO15"/>
  <c r="CO16"/>
  <c r="CO17"/>
  <c r="CO18"/>
  <c r="CO19"/>
  <c r="CO20"/>
  <c r="CO21"/>
  <c r="CO22"/>
  <c r="CO23"/>
  <c r="CO24"/>
  <c r="CO26"/>
  <c r="CO11"/>
  <c r="CH12"/>
  <c r="CH13"/>
  <c r="CH14"/>
  <c r="CH15"/>
  <c r="CH16"/>
  <c r="CH17"/>
  <c r="CH18"/>
  <c r="CH19"/>
  <c r="CH20"/>
  <c r="CH21"/>
  <c r="CH22"/>
  <c r="CH23"/>
  <c r="CH24"/>
  <c r="CH26"/>
  <c r="CH11"/>
  <c r="CA22"/>
  <c r="CA23"/>
  <c r="CA24"/>
  <c r="CA26"/>
  <c r="CA12"/>
  <c r="CA13"/>
  <c r="CA14"/>
  <c r="CA15"/>
  <c r="CA16"/>
  <c r="CA17"/>
  <c r="CA18"/>
  <c r="CA19"/>
  <c r="CA20"/>
  <c r="CA21"/>
  <c r="CA11"/>
  <c r="BS24"/>
  <c r="BS26"/>
  <c r="BS12"/>
  <c r="BS13"/>
  <c r="BS14"/>
  <c r="BS15"/>
  <c r="BS16"/>
  <c r="BS17"/>
  <c r="BS18"/>
  <c r="BS19"/>
  <c r="BS20"/>
  <c r="BS21"/>
  <c r="BS22"/>
  <c r="BS23"/>
  <c r="BS11"/>
  <c r="BL12"/>
  <c r="BL13"/>
  <c r="BL14"/>
  <c r="BL15"/>
  <c r="BL16"/>
  <c r="BL17"/>
  <c r="BL18"/>
  <c r="BL19"/>
  <c r="BL20"/>
  <c r="BL21"/>
  <c r="BL22"/>
  <c r="BL23"/>
  <c r="BL24"/>
  <c r="BL26"/>
  <c r="BL11"/>
  <c r="AX12"/>
  <c r="AX13"/>
  <c r="AX14"/>
  <c r="AX15"/>
  <c r="AX16"/>
  <c r="AX17"/>
  <c r="AX18"/>
  <c r="AX19"/>
  <c r="AX20"/>
  <c r="AX21"/>
  <c r="AX22"/>
  <c r="AX23"/>
  <c r="AX24"/>
  <c r="AX26"/>
  <c r="AX11"/>
  <c r="CU12"/>
  <c r="CU13"/>
  <c r="CU14"/>
  <c r="CU15"/>
  <c r="CU16"/>
  <c r="CU17"/>
  <c r="CU18"/>
  <c r="CU19"/>
  <c r="CU20"/>
  <c r="CU21"/>
  <c r="CU22"/>
  <c r="CU23"/>
  <c r="CU24"/>
  <c r="CU26"/>
  <c r="CU11"/>
  <c r="CR11"/>
  <c r="CQ12"/>
  <c r="CQ13"/>
  <c r="CQ14"/>
  <c r="CQ15"/>
  <c r="CQ16"/>
  <c r="CQ17"/>
  <c r="CQ18"/>
  <c r="CQ19"/>
  <c r="CQ20"/>
  <c r="CQ21"/>
  <c r="CQ22"/>
  <c r="CQ23"/>
  <c r="CQ24"/>
  <c r="CQ26"/>
  <c r="CQ11"/>
  <c r="CP12"/>
  <c r="CP13"/>
  <c r="CP14"/>
  <c r="CP15"/>
  <c r="CP16"/>
  <c r="CP17"/>
  <c r="CP18"/>
  <c r="CP19"/>
  <c r="CP20"/>
  <c r="CP21"/>
  <c r="CP22"/>
  <c r="CP23"/>
  <c r="CP24"/>
  <c r="CP26"/>
  <c r="CP11"/>
  <c r="CK29"/>
  <c r="CK28"/>
  <c r="CK12"/>
  <c r="CK13"/>
  <c r="CK14"/>
  <c r="CK15"/>
  <c r="CK16"/>
  <c r="CK17"/>
  <c r="CK18"/>
  <c r="CK19"/>
  <c r="CK20"/>
  <c r="CK21"/>
  <c r="CK22"/>
  <c r="CK23"/>
  <c r="CK24"/>
  <c r="CK26"/>
  <c r="CK11"/>
  <c r="CJ12"/>
  <c r="CJ13"/>
  <c r="CJ14"/>
  <c r="CJ15"/>
  <c r="CJ16"/>
  <c r="CJ17"/>
  <c r="CJ18"/>
  <c r="CJ19"/>
  <c r="CJ20"/>
  <c r="CJ21"/>
  <c r="CJ22"/>
  <c r="CJ23"/>
  <c r="CJ24"/>
  <c r="CJ26"/>
  <c r="CJ11"/>
  <c r="CI26"/>
  <c r="CI12"/>
  <c r="CI13"/>
  <c r="CI14"/>
  <c r="CI15"/>
  <c r="CI16"/>
  <c r="CI17"/>
  <c r="CI18"/>
  <c r="CI19"/>
  <c r="CI20"/>
  <c r="CI21"/>
  <c r="CI22"/>
  <c r="CI23"/>
  <c r="CI24"/>
  <c r="CI11"/>
  <c r="CC12"/>
  <c r="CC13"/>
  <c r="CC14"/>
  <c r="CC15"/>
  <c r="CC16"/>
  <c r="CC17"/>
  <c r="CC18"/>
  <c r="CC19"/>
  <c r="CC20"/>
  <c r="CC21"/>
  <c r="CC22"/>
  <c r="CC23"/>
  <c r="CC24"/>
  <c r="CC26"/>
  <c r="CC11"/>
  <c r="CB12"/>
  <c r="CB13"/>
  <c r="CB14"/>
  <c r="CB15"/>
  <c r="CB16"/>
  <c r="CB17"/>
  <c r="CB18"/>
  <c r="CB19"/>
  <c r="CB20"/>
  <c r="CB21"/>
  <c r="CB22"/>
  <c r="CB23"/>
  <c r="CB24"/>
  <c r="CB26"/>
  <c r="CB11"/>
  <c r="BU12"/>
  <c r="BU13"/>
  <c r="BU14"/>
  <c r="BU15"/>
  <c r="BU16"/>
  <c r="BU17"/>
  <c r="BU18"/>
  <c r="BU19"/>
  <c r="BU20"/>
  <c r="BU21"/>
  <c r="BU22"/>
  <c r="BU23"/>
  <c r="BU24"/>
  <c r="BU26"/>
  <c r="BU11"/>
  <c r="BN12"/>
  <c r="BN13"/>
  <c r="BN14"/>
  <c r="BN15"/>
  <c r="BN16"/>
  <c r="BN17"/>
  <c r="BN18"/>
  <c r="BN19"/>
  <c r="BN20"/>
  <c r="BN21"/>
  <c r="BN22"/>
  <c r="BN23"/>
  <c r="BN24"/>
  <c r="BN11"/>
  <c r="BF12"/>
  <c r="BF13"/>
  <c r="BF14"/>
  <c r="BF15"/>
  <c r="BF16"/>
  <c r="BF17"/>
  <c r="BF18"/>
  <c r="BF19"/>
  <c r="BF20"/>
  <c r="BF21"/>
  <c r="BF22"/>
  <c r="BF23"/>
  <c r="BF24"/>
  <c r="BF11"/>
  <c r="AZ26"/>
  <c r="AY11"/>
  <c r="AT12"/>
  <c r="AU12"/>
  <c r="AT13"/>
  <c r="AU13"/>
  <c r="AT14"/>
  <c r="AU14"/>
  <c r="AT15"/>
  <c r="AU15"/>
  <c r="AT16"/>
  <c r="AU16"/>
  <c r="AT17"/>
  <c r="AU17"/>
  <c r="AT18"/>
  <c r="AU18"/>
  <c r="AT19"/>
  <c r="AU19"/>
  <c r="AT20"/>
  <c r="AU20"/>
  <c r="AT21"/>
  <c r="AU21"/>
  <c r="AT22"/>
  <c r="AU22"/>
  <c r="AT23"/>
  <c r="AU23"/>
  <c r="AT24"/>
  <c r="AU24"/>
  <c r="AT11"/>
  <c r="AU11"/>
  <c r="AP12"/>
  <c r="AQ12"/>
  <c r="AP13"/>
  <c r="AQ13"/>
  <c r="AP14"/>
  <c r="AQ14"/>
  <c r="AP15"/>
  <c r="AQ15"/>
  <c r="AP16"/>
  <c r="AQ16"/>
  <c r="AP17"/>
  <c r="AQ17"/>
  <c r="AP18"/>
  <c r="AQ18"/>
  <c r="AP19"/>
  <c r="AQ19"/>
  <c r="AP20"/>
  <c r="AQ20"/>
  <c r="AP21"/>
  <c r="AQ21"/>
  <c r="AP22"/>
  <c r="AQ22"/>
  <c r="AP23"/>
  <c r="AQ23"/>
  <c r="AP24"/>
  <c r="AQ24"/>
  <c r="AP11"/>
  <c r="AQ11"/>
  <c r="AH12"/>
  <c r="AH13"/>
  <c r="AH14"/>
  <c r="AH15"/>
  <c r="AH16"/>
  <c r="AH17"/>
  <c r="AH18"/>
  <c r="AH19"/>
  <c r="AH20"/>
  <c r="AH21"/>
  <c r="AH22"/>
  <c r="AH23"/>
  <c r="AH24"/>
  <c r="AH11"/>
  <c r="AC12"/>
  <c r="AC13"/>
  <c r="AC14"/>
  <c r="AC15"/>
  <c r="AC16"/>
  <c r="AC17"/>
  <c r="AC18"/>
  <c r="AC19"/>
  <c r="AC21"/>
  <c r="AC22"/>
  <c r="AC23"/>
  <c r="AC24"/>
  <c r="AC11"/>
  <c r="G12"/>
  <c r="G13"/>
  <c r="G14"/>
  <c r="G15"/>
  <c r="G16"/>
  <c r="G17"/>
  <c r="G18"/>
  <c r="G19"/>
  <c r="G20"/>
  <c r="G21"/>
  <c r="G22"/>
  <c r="G23"/>
  <c r="G24"/>
  <c r="G11"/>
  <c r="AJ12"/>
  <c r="AJ13"/>
  <c r="AJ14"/>
  <c r="AJ15"/>
  <c r="AJ16"/>
  <c r="AJ17"/>
  <c r="AJ18"/>
  <c r="AJ19"/>
  <c r="AJ20"/>
  <c r="AJ21"/>
  <c r="AJ22"/>
  <c r="AJ23"/>
  <c r="AJ24"/>
  <c r="AJ11"/>
  <c r="AI12"/>
  <c r="AI13"/>
  <c r="AI14"/>
  <c r="AI15"/>
  <c r="AI16"/>
  <c r="AI17"/>
  <c r="AI18"/>
  <c r="AI19"/>
  <c r="AI20"/>
  <c r="AI21"/>
  <c r="AI22"/>
  <c r="AI23"/>
  <c r="AI24"/>
  <c r="AI11"/>
  <c r="AD12"/>
  <c r="AD13"/>
  <c r="AE13"/>
  <c r="AD14"/>
  <c r="AE14"/>
  <c r="AD15"/>
  <c r="AE15"/>
  <c r="AD16"/>
  <c r="AE16"/>
  <c r="AD17"/>
  <c r="AE17"/>
  <c r="AD18"/>
  <c r="AE18"/>
  <c r="AD19"/>
  <c r="AE19"/>
  <c r="AD21"/>
  <c r="AE21"/>
  <c r="AD22"/>
  <c r="AE22"/>
  <c r="AD23"/>
  <c r="AE23"/>
  <c r="AD24"/>
  <c r="AE24"/>
  <c r="AD11"/>
  <c r="AE11"/>
  <c r="C12"/>
  <c r="U12"/>
  <c r="C13"/>
  <c r="X13"/>
  <c r="M13"/>
  <c r="N13"/>
  <c r="C14"/>
  <c r="U14"/>
  <c r="C15"/>
  <c r="X15"/>
  <c r="Y15"/>
  <c r="Z15"/>
  <c r="C16"/>
  <c r="U16"/>
  <c r="C17"/>
  <c r="X17"/>
  <c r="C18"/>
  <c r="U18"/>
  <c r="C19"/>
  <c r="X19"/>
  <c r="C20"/>
  <c r="U20"/>
  <c r="C21"/>
  <c r="X21"/>
  <c r="C22"/>
  <c r="U22"/>
  <c r="V22"/>
  <c r="C23"/>
  <c r="X23"/>
  <c r="Y23"/>
  <c r="Z23"/>
  <c r="C24"/>
  <c r="U24"/>
  <c r="C11"/>
  <c r="M11"/>
  <c r="H12"/>
  <c r="H13"/>
  <c r="H14"/>
  <c r="H15"/>
  <c r="H16"/>
  <c r="H17"/>
  <c r="H18"/>
  <c r="H19"/>
  <c r="H20"/>
  <c r="H21"/>
  <c r="H22"/>
  <c r="H23"/>
  <c r="H24"/>
  <c r="H11"/>
  <c r="N12" i="2"/>
  <c r="N13"/>
  <c r="N14"/>
  <c r="N15"/>
  <c r="N16"/>
  <c r="N17"/>
  <c r="N18"/>
  <c r="N19"/>
  <c r="N20"/>
  <c r="N21"/>
  <c r="N22"/>
  <c r="N23"/>
  <c r="N24"/>
  <c r="N26"/>
  <c r="N11"/>
  <c r="K12"/>
  <c r="K13"/>
  <c r="K14"/>
  <c r="K15"/>
  <c r="K16"/>
  <c r="K17"/>
  <c r="K18"/>
  <c r="K19"/>
  <c r="K20"/>
  <c r="K21"/>
  <c r="K22"/>
  <c r="K23"/>
  <c r="K24"/>
  <c r="K26"/>
  <c r="K11"/>
  <c r="H12"/>
  <c r="H13"/>
  <c r="H14"/>
  <c r="H15"/>
  <c r="H16"/>
  <c r="H17"/>
  <c r="H18"/>
  <c r="H19"/>
  <c r="H20"/>
  <c r="H21"/>
  <c r="H22"/>
  <c r="H23"/>
  <c r="H24"/>
  <c r="H26"/>
  <c r="H11"/>
  <c r="E12"/>
  <c r="E13"/>
  <c r="E14"/>
  <c r="E15"/>
  <c r="E16"/>
  <c r="E17"/>
  <c r="E18"/>
  <c r="E19"/>
  <c r="E20"/>
  <c r="E21"/>
  <c r="E22"/>
  <c r="E23"/>
  <c r="E24"/>
  <c r="E26"/>
  <c r="E11"/>
  <c r="D12"/>
  <c r="D13"/>
  <c r="D14"/>
  <c r="D15"/>
  <c r="D16"/>
  <c r="D17"/>
  <c r="D18"/>
  <c r="D19"/>
  <c r="D20"/>
  <c r="D21"/>
  <c r="D22"/>
  <c r="D23"/>
  <c r="D24"/>
  <c r="D26"/>
  <c r="D11"/>
  <c r="N29" i="1"/>
  <c r="X12"/>
  <c r="Y12"/>
  <c r="X13"/>
  <c r="Y13"/>
  <c r="X14"/>
  <c r="Y14"/>
  <c r="X15"/>
  <c r="Y15"/>
  <c r="X16"/>
  <c r="Y16"/>
  <c r="X17"/>
  <c r="Y17"/>
  <c r="X18"/>
  <c r="Y18"/>
  <c r="X19"/>
  <c r="Y19"/>
  <c r="X20"/>
  <c r="Y20"/>
  <c r="X21"/>
  <c r="Y21"/>
  <c r="X22"/>
  <c r="Y22"/>
  <c r="X23"/>
  <c r="Y23"/>
  <c r="X24"/>
  <c r="Y24"/>
  <c r="X11"/>
  <c r="Y11"/>
  <c r="AM27"/>
  <c r="AN12"/>
  <c r="AN13"/>
  <c r="AN14"/>
  <c r="AN15"/>
  <c r="AN16"/>
  <c r="AN17"/>
  <c r="AN18"/>
  <c r="AN19"/>
  <c r="AN20"/>
  <c r="AN21"/>
  <c r="AN22"/>
  <c r="AN23"/>
  <c r="AN24"/>
  <c r="AN11"/>
  <c r="AN27"/>
  <c r="AM26"/>
  <c r="AN26"/>
  <c r="P12"/>
  <c r="Q12"/>
  <c r="P13"/>
  <c r="P14"/>
  <c r="P15"/>
  <c r="P16"/>
  <c r="P17"/>
  <c r="P18"/>
  <c r="P19"/>
  <c r="P20"/>
  <c r="Q20"/>
  <c r="P21"/>
  <c r="P22"/>
  <c r="P23"/>
  <c r="P24"/>
  <c r="Q24"/>
  <c r="P11"/>
  <c r="V12"/>
  <c r="V13"/>
  <c r="V14"/>
  <c r="V15"/>
  <c r="V16"/>
  <c r="V17"/>
  <c r="V18"/>
  <c r="V19"/>
  <c r="V20"/>
  <c r="V21"/>
  <c r="V22"/>
  <c r="V23"/>
  <c r="V24"/>
  <c r="V11"/>
  <c r="B26" i="2"/>
  <c r="V12"/>
  <c r="V13"/>
  <c r="V14"/>
  <c r="V15"/>
  <c r="V16"/>
  <c r="V17"/>
  <c r="V29"/>
  <c r="V28"/>
  <c r="V18"/>
  <c r="V19"/>
  <c r="V20"/>
  <c r="V21"/>
  <c r="V22"/>
  <c r="V23"/>
  <c r="V24"/>
  <c r="V26"/>
  <c r="V11"/>
  <c r="C24" i="1"/>
  <c r="C23"/>
  <c r="D23"/>
  <c r="E23"/>
  <c r="C22"/>
  <c r="C21"/>
  <c r="D21"/>
  <c r="E21"/>
  <c r="C20"/>
  <c r="C19"/>
  <c r="D19"/>
  <c r="E19"/>
  <c r="C18"/>
  <c r="C17"/>
  <c r="D17"/>
  <c r="E17"/>
  <c r="C16"/>
  <c r="C15"/>
  <c r="D15"/>
  <c r="E15"/>
  <c r="C14"/>
  <c r="C13"/>
  <c r="D13"/>
  <c r="E13"/>
  <c r="C12"/>
  <c r="C11"/>
  <c r="S25" i="7"/>
  <c r="R25"/>
  <c r="Q25"/>
  <c r="P25"/>
  <c r="O25"/>
  <c r="N25"/>
  <c r="M25"/>
  <c r="K25"/>
  <c r="J25"/>
  <c r="I25"/>
  <c r="H25"/>
  <c r="G25"/>
  <c r="F25"/>
  <c r="E25"/>
  <c r="D25"/>
  <c r="C25"/>
  <c r="B25"/>
  <c r="S23"/>
  <c r="S26"/>
  <c r="R23"/>
  <c r="R26"/>
  <c r="Q23"/>
  <c r="Q26"/>
  <c r="P23"/>
  <c r="P26"/>
  <c r="O23"/>
  <c r="O26"/>
  <c r="N23"/>
  <c r="N26"/>
  <c r="M23"/>
  <c r="M26"/>
  <c r="L23"/>
  <c r="L26"/>
  <c r="K23"/>
  <c r="K26"/>
  <c r="I23"/>
  <c r="J23"/>
  <c r="H23"/>
  <c r="H26"/>
  <c r="G23"/>
  <c r="F23"/>
  <c r="F26"/>
  <c r="E23"/>
  <c r="E26"/>
  <c r="D23"/>
  <c r="D26"/>
  <c r="C23"/>
  <c r="B23"/>
  <c r="B26"/>
  <c r="U21"/>
  <c r="T21"/>
  <c r="U20"/>
  <c r="T20"/>
  <c r="U19"/>
  <c r="T19"/>
  <c r="U18"/>
  <c r="T18"/>
  <c r="U17"/>
  <c r="T17"/>
  <c r="U16"/>
  <c r="T16"/>
  <c r="U15"/>
  <c r="T15"/>
  <c r="U14"/>
  <c r="T14"/>
  <c r="U13"/>
  <c r="T13"/>
  <c r="U12"/>
  <c r="T12"/>
  <c r="U11"/>
  <c r="T11"/>
  <c r="U10"/>
  <c r="T10"/>
  <c r="U9"/>
  <c r="T9"/>
  <c r="U8"/>
  <c r="T8"/>
  <c r="S27" i="6"/>
  <c r="Q27"/>
  <c r="O27"/>
  <c r="N27"/>
  <c r="L27"/>
  <c r="J27"/>
  <c r="H27"/>
  <c r="F27"/>
  <c r="D27"/>
  <c r="B27"/>
  <c r="S25"/>
  <c r="T25"/>
  <c r="Q25"/>
  <c r="R25"/>
  <c r="O25"/>
  <c r="O28"/>
  <c r="N25"/>
  <c r="N28"/>
  <c r="L25"/>
  <c r="M25"/>
  <c r="J25"/>
  <c r="K25"/>
  <c r="H25"/>
  <c r="I25"/>
  <c r="F25"/>
  <c r="G25"/>
  <c r="D25"/>
  <c r="E25"/>
  <c r="B25"/>
  <c r="C25"/>
  <c r="U23"/>
  <c r="V23"/>
  <c r="U22"/>
  <c r="V22"/>
  <c r="U21"/>
  <c r="V21"/>
  <c r="U20"/>
  <c r="V20"/>
  <c r="U19"/>
  <c r="V19"/>
  <c r="U18"/>
  <c r="V18"/>
  <c r="U17"/>
  <c r="V17"/>
  <c r="U16"/>
  <c r="V16"/>
  <c r="U15"/>
  <c r="V15"/>
  <c r="U14"/>
  <c r="V14"/>
  <c r="U13"/>
  <c r="V13"/>
  <c r="U12"/>
  <c r="V12"/>
  <c r="T27"/>
  <c r="R27"/>
  <c r="P27"/>
  <c r="M27"/>
  <c r="K27"/>
  <c r="I27"/>
  <c r="G27"/>
  <c r="U11"/>
  <c r="C27"/>
  <c r="U10"/>
  <c r="V10"/>
  <c r="J26" i="7"/>
  <c r="U23"/>
  <c r="G26"/>
  <c r="I26"/>
  <c r="L25"/>
  <c r="V11" i="6"/>
  <c r="E27"/>
  <c r="D28"/>
  <c r="F28"/>
  <c r="H28"/>
  <c r="J28"/>
  <c r="L28"/>
  <c r="AL27" i="4"/>
  <c r="AJ27"/>
  <c r="AI27"/>
  <c r="V27"/>
  <c r="M27"/>
  <c r="AY25"/>
  <c r="AL25"/>
  <c r="AM25"/>
  <c r="AN25"/>
  <c r="AI25"/>
  <c r="AI28"/>
  <c r="AD25"/>
  <c r="AE25"/>
  <c r="AF25"/>
  <c r="AG25"/>
  <c r="V25"/>
  <c r="Y25"/>
  <c r="X25"/>
  <c r="P25"/>
  <c r="M25"/>
  <c r="O25"/>
  <c r="BB23"/>
  <c r="AM23"/>
  <c r="AN23"/>
  <c r="AO23"/>
  <c r="AF23"/>
  <c r="AG23"/>
  <c r="R23"/>
  <c r="BA22"/>
  <c r="BB22"/>
  <c r="AZ22"/>
  <c r="AM22"/>
  <c r="AN22"/>
  <c r="AP22"/>
  <c r="AQ22"/>
  <c r="AF22"/>
  <c r="AG22"/>
  <c r="R22"/>
  <c r="F22"/>
  <c r="G22"/>
  <c r="H22"/>
  <c r="I22"/>
  <c r="BA21"/>
  <c r="BB21"/>
  <c r="AZ21"/>
  <c r="AM21"/>
  <c r="AN21"/>
  <c r="AF21"/>
  <c r="AG21"/>
  <c r="R21"/>
  <c r="BA20"/>
  <c r="BB20"/>
  <c r="AZ20"/>
  <c r="AM20"/>
  <c r="AN20"/>
  <c r="AF20"/>
  <c r="AG20"/>
  <c r="F20"/>
  <c r="BA19"/>
  <c r="BB19"/>
  <c r="AZ19"/>
  <c r="AM19"/>
  <c r="AN19"/>
  <c r="AF19"/>
  <c r="AG19"/>
  <c r="R19"/>
  <c r="BA18"/>
  <c r="BB18"/>
  <c r="AZ18"/>
  <c r="AM18"/>
  <c r="AN18"/>
  <c r="AG18"/>
  <c r="AF18"/>
  <c r="R18"/>
  <c r="F18"/>
  <c r="G18"/>
  <c r="H18"/>
  <c r="BA17"/>
  <c r="BB17"/>
  <c r="AZ17"/>
  <c r="AM17"/>
  <c r="AN17"/>
  <c r="AR17"/>
  <c r="AS17"/>
  <c r="AF17"/>
  <c r="AG17"/>
  <c r="R17"/>
  <c r="S17"/>
  <c r="T17"/>
  <c r="BA16"/>
  <c r="BB16"/>
  <c r="AZ16"/>
  <c r="AM16"/>
  <c r="AN16"/>
  <c r="AF16"/>
  <c r="AG16"/>
  <c r="R16"/>
  <c r="R27"/>
  <c r="BA15"/>
  <c r="BB15"/>
  <c r="AZ15"/>
  <c r="AM15"/>
  <c r="AN15"/>
  <c r="AR15"/>
  <c r="AS15"/>
  <c r="AF15"/>
  <c r="AG15"/>
  <c r="R15"/>
  <c r="F15"/>
  <c r="G15"/>
  <c r="H15"/>
  <c r="BA14"/>
  <c r="BB14"/>
  <c r="AZ14"/>
  <c r="AM14"/>
  <c r="AN14"/>
  <c r="AF14"/>
  <c r="AG14"/>
  <c r="R14"/>
  <c r="BA13"/>
  <c r="BB13"/>
  <c r="AZ13"/>
  <c r="AM13"/>
  <c r="AN13"/>
  <c r="AF13"/>
  <c r="AG13"/>
  <c r="R13"/>
  <c r="BA12"/>
  <c r="BB12"/>
  <c r="AZ12"/>
  <c r="AM12"/>
  <c r="AN12"/>
  <c r="AR12"/>
  <c r="AS12"/>
  <c r="AF12"/>
  <c r="AG12"/>
  <c r="F12"/>
  <c r="BA11"/>
  <c r="BB11"/>
  <c r="AZ11"/>
  <c r="AM11"/>
  <c r="AN11"/>
  <c r="AF11"/>
  <c r="AF27"/>
  <c r="S11"/>
  <c r="F11"/>
  <c r="G11"/>
  <c r="H11"/>
  <c r="BA10"/>
  <c r="BB10"/>
  <c r="AZ10"/>
  <c r="AM10"/>
  <c r="AN10"/>
  <c r="AF10"/>
  <c r="AG10"/>
  <c r="R10"/>
  <c r="F10"/>
  <c r="G10"/>
  <c r="H10"/>
  <c r="CC28" i="3"/>
  <c r="BZ28"/>
  <c r="BR28"/>
  <c r="BN28"/>
  <c r="BK28"/>
  <c r="BG28"/>
  <c r="BG29"/>
  <c r="AS28"/>
  <c r="AO28"/>
  <c r="AG28"/>
  <c r="H28"/>
  <c r="CN26"/>
  <c r="CG26"/>
  <c r="CC29"/>
  <c r="BZ26"/>
  <c r="BR26"/>
  <c r="BN26"/>
  <c r="BN29"/>
  <c r="BK26"/>
  <c r="BM26"/>
  <c r="BE26"/>
  <c r="AS26"/>
  <c r="AT26"/>
  <c r="AO26"/>
  <c r="AG26"/>
  <c r="AJ26"/>
  <c r="P26"/>
  <c r="F26"/>
  <c r="G26"/>
  <c r="D26"/>
  <c r="E26"/>
  <c r="B26"/>
  <c r="C26"/>
  <c r="CL24"/>
  <c r="CD24"/>
  <c r="CE24"/>
  <c r="BT24"/>
  <c r="BV24"/>
  <c r="BW24"/>
  <c r="BM24"/>
  <c r="BO24"/>
  <c r="BP24"/>
  <c r="BI24"/>
  <c r="AY24"/>
  <c r="BA24"/>
  <c r="BB24"/>
  <c r="AK24"/>
  <c r="AL24"/>
  <c r="I24"/>
  <c r="J24"/>
  <c r="K24"/>
  <c r="E24"/>
  <c r="CL23"/>
  <c r="CD23"/>
  <c r="CE23"/>
  <c r="BT23"/>
  <c r="BM23"/>
  <c r="BO23"/>
  <c r="BP23"/>
  <c r="BI23"/>
  <c r="AY23"/>
  <c r="I23"/>
  <c r="J23"/>
  <c r="K23"/>
  <c r="E23"/>
  <c r="CL22"/>
  <c r="CD22"/>
  <c r="CE22"/>
  <c r="BT22"/>
  <c r="BV22"/>
  <c r="BW22"/>
  <c r="BM22"/>
  <c r="BO22"/>
  <c r="BP22"/>
  <c r="BH22"/>
  <c r="BI22"/>
  <c r="AY22"/>
  <c r="BA22"/>
  <c r="BB22"/>
  <c r="Z22"/>
  <c r="I22"/>
  <c r="J22"/>
  <c r="K22"/>
  <c r="E22"/>
  <c r="CL21"/>
  <c r="CD21"/>
  <c r="CE21"/>
  <c r="BT21"/>
  <c r="BM21"/>
  <c r="BO21"/>
  <c r="BP21"/>
  <c r="BH21"/>
  <c r="BI21"/>
  <c r="AY21"/>
  <c r="I21"/>
  <c r="J21"/>
  <c r="K21"/>
  <c r="E21"/>
  <c r="CL20"/>
  <c r="CD20"/>
  <c r="CE20"/>
  <c r="BT20"/>
  <c r="BM20"/>
  <c r="BO20"/>
  <c r="BP20"/>
  <c r="BH20"/>
  <c r="BI20"/>
  <c r="AY20"/>
  <c r="I20"/>
  <c r="J20"/>
  <c r="K20"/>
  <c r="E20"/>
  <c r="AB20"/>
  <c r="AC20"/>
  <c r="CL19"/>
  <c r="CD19"/>
  <c r="CE19"/>
  <c r="BT19"/>
  <c r="BM19"/>
  <c r="BO19"/>
  <c r="BP19"/>
  <c r="BH19"/>
  <c r="BI19"/>
  <c r="AY19"/>
  <c r="I19"/>
  <c r="J19"/>
  <c r="K19"/>
  <c r="E19"/>
  <c r="CL18"/>
  <c r="CD18"/>
  <c r="BT18"/>
  <c r="BM18"/>
  <c r="BO18"/>
  <c r="BP18"/>
  <c r="BH18"/>
  <c r="BI18"/>
  <c r="AY18"/>
  <c r="AK18"/>
  <c r="AL18"/>
  <c r="I18"/>
  <c r="J18"/>
  <c r="K18"/>
  <c r="E18"/>
  <c r="CL17"/>
  <c r="CD17"/>
  <c r="CE17"/>
  <c r="BT17"/>
  <c r="BM17"/>
  <c r="BO17"/>
  <c r="BH17"/>
  <c r="AY17"/>
  <c r="I17"/>
  <c r="J17"/>
  <c r="E17"/>
  <c r="CL16"/>
  <c r="CD16"/>
  <c r="BT16"/>
  <c r="BM16"/>
  <c r="BO16"/>
  <c r="BP16"/>
  <c r="BH16"/>
  <c r="BI16"/>
  <c r="BI28"/>
  <c r="AK16"/>
  <c r="I16"/>
  <c r="J16"/>
  <c r="K16"/>
  <c r="E16"/>
  <c r="CL15"/>
  <c r="CD15"/>
  <c r="CE15"/>
  <c r="BT15"/>
  <c r="BM15"/>
  <c r="BO15"/>
  <c r="BP15"/>
  <c r="BH15"/>
  <c r="BI15"/>
  <c r="AY15"/>
  <c r="I15"/>
  <c r="J15"/>
  <c r="K15"/>
  <c r="E15"/>
  <c r="CL14"/>
  <c r="CD14"/>
  <c r="CE14"/>
  <c r="BT14"/>
  <c r="BV14"/>
  <c r="BW14"/>
  <c r="BM14"/>
  <c r="BO14"/>
  <c r="BP14"/>
  <c r="BH14"/>
  <c r="BI14"/>
  <c r="AY14"/>
  <c r="I14"/>
  <c r="J14"/>
  <c r="K14"/>
  <c r="E14"/>
  <c r="CL13"/>
  <c r="CD13"/>
  <c r="BT13"/>
  <c r="BM13"/>
  <c r="BO13"/>
  <c r="BP13"/>
  <c r="BH13"/>
  <c r="BI13"/>
  <c r="AY13"/>
  <c r="I13"/>
  <c r="J13"/>
  <c r="K13"/>
  <c r="E13"/>
  <c r="CL12"/>
  <c r="BT12"/>
  <c r="BM12"/>
  <c r="BM28"/>
  <c r="BH12"/>
  <c r="AT28"/>
  <c r="AI28"/>
  <c r="I12"/>
  <c r="I28"/>
  <c r="I29"/>
  <c r="E12"/>
  <c r="CS11"/>
  <c r="CL11"/>
  <c r="CV11"/>
  <c r="CD11"/>
  <c r="CE11"/>
  <c r="BT11"/>
  <c r="BM11"/>
  <c r="BO11"/>
  <c r="BH11"/>
  <c r="BI11"/>
  <c r="AK11"/>
  <c r="AL11"/>
  <c r="I11"/>
  <c r="J11"/>
  <c r="K11"/>
  <c r="E11"/>
  <c r="T29" i="2"/>
  <c r="W26"/>
  <c r="T26"/>
  <c r="U26"/>
  <c r="O26"/>
  <c r="L26"/>
  <c r="I26"/>
  <c r="C26"/>
  <c r="X24"/>
  <c r="U24"/>
  <c r="O24"/>
  <c r="L24"/>
  <c r="I24"/>
  <c r="C24"/>
  <c r="X23"/>
  <c r="U23"/>
  <c r="O23"/>
  <c r="L23"/>
  <c r="I23"/>
  <c r="C23"/>
  <c r="X22"/>
  <c r="U22"/>
  <c r="O22"/>
  <c r="L22"/>
  <c r="I22"/>
  <c r="C22"/>
  <c r="X21"/>
  <c r="U21"/>
  <c r="O21"/>
  <c r="L21"/>
  <c r="I21"/>
  <c r="C21"/>
  <c r="X20"/>
  <c r="U20"/>
  <c r="O20"/>
  <c r="L20"/>
  <c r="I20"/>
  <c r="C20"/>
  <c r="X19"/>
  <c r="U19"/>
  <c r="O19"/>
  <c r="L19"/>
  <c r="I19"/>
  <c r="C19"/>
  <c r="X18"/>
  <c r="U18"/>
  <c r="O18"/>
  <c r="L18"/>
  <c r="I18"/>
  <c r="C18"/>
  <c r="X17"/>
  <c r="U17"/>
  <c r="O17"/>
  <c r="L17"/>
  <c r="I17"/>
  <c r="C17"/>
  <c r="X16"/>
  <c r="U16"/>
  <c r="O16"/>
  <c r="L16"/>
  <c r="I16"/>
  <c r="C16"/>
  <c r="X15"/>
  <c r="U15"/>
  <c r="O15"/>
  <c r="L15"/>
  <c r="I15"/>
  <c r="C15"/>
  <c r="X14"/>
  <c r="U14"/>
  <c r="O14"/>
  <c r="L14"/>
  <c r="I14"/>
  <c r="C14"/>
  <c r="X13"/>
  <c r="U13"/>
  <c r="O13"/>
  <c r="L13"/>
  <c r="I13"/>
  <c r="C13"/>
  <c r="X12"/>
  <c r="U12"/>
  <c r="N29"/>
  <c r="N28"/>
  <c r="K29"/>
  <c r="K28"/>
  <c r="H29"/>
  <c r="H28"/>
  <c r="C12"/>
  <c r="X11"/>
  <c r="U11"/>
  <c r="O11"/>
  <c r="L11"/>
  <c r="I11"/>
  <c r="C11"/>
  <c r="O12" i="1"/>
  <c r="O13"/>
  <c r="O14"/>
  <c r="O15"/>
  <c r="O16"/>
  <c r="O17"/>
  <c r="O30"/>
  <c r="O18"/>
  <c r="O19"/>
  <c r="O20"/>
  <c r="O21"/>
  <c r="O22"/>
  <c r="O23"/>
  <c r="O24"/>
  <c r="O11"/>
  <c r="U12"/>
  <c r="U13"/>
  <c r="U14"/>
  <c r="U15"/>
  <c r="U16"/>
  <c r="U17"/>
  <c r="U18"/>
  <c r="U19"/>
  <c r="U20"/>
  <c r="U21"/>
  <c r="U22"/>
  <c r="U23"/>
  <c r="U24"/>
  <c r="U11"/>
  <c r="B26"/>
  <c r="C26"/>
  <c r="AK12"/>
  <c r="AK13"/>
  <c r="AL13"/>
  <c r="AO13"/>
  <c r="AK14"/>
  <c r="AK15"/>
  <c r="AK16"/>
  <c r="AK17"/>
  <c r="AK18"/>
  <c r="AK19"/>
  <c r="AK20"/>
  <c r="AK21"/>
  <c r="AK22"/>
  <c r="AK23"/>
  <c r="AK24"/>
  <c r="T26"/>
  <c r="O26"/>
  <c r="O29"/>
  <c r="AK11"/>
  <c r="AK27"/>
  <c r="AJ11"/>
  <c r="AJ12"/>
  <c r="AL12"/>
  <c r="AO12"/>
  <c r="AP12"/>
  <c r="AJ13"/>
  <c r="AJ14"/>
  <c r="AJ15"/>
  <c r="AJ16"/>
  <c r="AL16"/>
  <c r="AO16"/>
  <c r="AJ17"/>
  <c r="AJ18"/>
  <c r="AL18"/>
  <c r="AO18"/>
  <c r="AP18"/>
  <c r="AJ19"/>
  <c r="AJ20"/>
  <c r="AL20"/>
  <c r="AO20"/>
  <c r="AP20"/>
  <c r="AJ21"/>
  <c r="AJ22"/>
  <c r="AL22"/>
  <c r="AO22"/>
  <c r="AP22"/>
  <c r="AJ23"/>
  <c r="AJ24"/>
  <c r="AL24"/>
  <c r="AO24"/>
  <c r="AP24"/>
  <c r="W26"/>
  <c r="Q16"/>
  <c r="Q17"/>
  <c r="Q18"/>
  <c r="AL14"/>
  <c r="AO14"/>
  <c r="AP14"/>
  <c r="AL21"/>
  <c r="AO21"/>
  <c r="AP21"/>
  <c r="Q13"/>
  <c r="Q14"/>
  <c r="Q15"/>
  <c r="Q19"/>
  <c r="Q21"/>
  <c r="Q22"/>
  <c r="Q23"/>
  <c r="Q11"/>
  <c r="AK26"/>
  <c r="AT17" i="4"/>
  <c r="AU17"/>
  <c r="AP17"/>
  <c r="AQ17"/>
  <c r="S22"/>
  <c r="T22"/>
  <c r="N27"/>
  <c r="O27"/>
  <c r="AL28"/>
  <c r="Z10"/>
  <c r="Z25"/>
  <c r="Z12"/>
  <c r="Z14"/>
  <c r="AA14"/>
  <c r="Z16"/>
  <c r="Z20"/>
  <c r="Z22"/>
  <c r="AA22"/>
  <c r="CD12" i="3"/>
  <c r="CE12"/>
  <c r="BT26"/>
  <c r="AO29"/>
  <c r="BR29"/>
  <c r="F11" i="2"/>
  <c r="F12"/>
  <c r="I12"/>
  <c r="L12"/>
  <c r="O12"/>
  <c r="F13"/>
  <c r="F14"/>
  <c r="R14"/>
  <c r="F15"/>
  <c r="F16"/>
  <c r="F17"/>
  <c r="F18"/>
  <c r="R18"/>
  <c r="F19"/>
  <c r="F20"/>
  <c r="R20"/>
  <c r="F21"/>
  <c r="F22"/>
  <c r="R22"/>
  <c r="F23"/>
  <c r="F24"/>
  <c r="R24"/>
  <c r="F26"/>
  <c r="E29"/>
  <c r="E28"/>
  <c r="Q11"/>
  <c r="Q12"/>
  <c r="Q13"/>
  <c r="Q14"/>
  <c r="Q15"/>
  <c r="Q16"/>
  <c r="Q17"/>
  <c r="Q18"/>
  <c r="Q19"/>
  <c r="Q20"/>
  <c r="Q21"/>
  <c r="Q22"/>
  <c r="Q23"/>
  <c r="Q24"/>
  <c r="E18" i="4"/>
  <c r="E10"/>
  <c r="F29" i="2"/>
  <c r="F28"/>
  <c r="R12"/>
  <c r="Q29"/>
  <c r="Q26"/>
  <c r="Q28"/>
  <c r="P27" i="1"/>
  <c r="AD27"/>
  <c r="AJ26"/>
  <c r="E27"/>
  <c r="F11"/>
  <c r="R23" i="2"/>
  <c r="R21"/>
  <c r="R19"/>
  <c r="R17"/>
  <c r="L29"/>
  <c r="L28"/>
  <c r="O29"/>
  <c r="O28"/>
  <c r="I29"/>
  <c r="I28"/>
  <c r="R16"/>
  <c r="R29"/>
  <c r="R15"/>
  <c r="R13"/>
  <c r="R11"/>
  <c r="Y14"/>
  <c r="AB14"/>
  <c r="AA14"/>
  <c r="Y24"/>
  <c r="AB24"/>
  <c r="AA24"/>
  <c r="Y23"/>
  <c r="AB23"/>
  <c r="AA23"/>
  <c r="Y22"/>
  <c r="AB22"/>
  <c r="AA22"/>
  <c r="Y21"/>
  <c r="AB21"/>
  <c r="AA21"/>
  <c r="Y20"/>
  <c r="AB20"/>
  <c r="AA20"/>
  <c r="Y19"/>
  <c r="AB19"/>
  <c r="AA19"/>
  <c r="Y18"/>
  <c r="AB18"/>
  <c r="AA18"/>
  <c r="Y17"/>
  <c r="AB17"/>
  <c r="AA17"/>
  <c r="Y16"/>
  <c r="AB16"/>
  <c r="AA16"/>
  <c r="Y15"/>
  <c r="AB15"/>
  <c r="AA15"/>
  <c r="Y13"/>
  <c r="AB13"/>
  <c r="AA13"/>
  <c r="X29"/>
  <c r="AA12"/>
  <c r="Y12"/>
  <c r="T28"/>
  <c r="Y11"/>
  <c r="AB11"/>
  <c r="X26"/>
  <c r="AA11"/>
  <c r="Y29"/>
  <c r="AB12"/>
  <c r="AB29"/>
  <c r="X28"/>
  <c r="AA26"/>
  <c r="Y26"/>
  <c r="Y28"/>
  <c r="AB26"/>
  <c r="AD30" i="1"/>
  <c r="AD29"/>
  <c r="G23"/>
  <c r="J23"/>
  <c r="L23"/>
  <c r="G21"/>
  <c r="J21"/>
  <c r="L21"/>
  <c r="G19"/>
  <c r="J19"/>
  <c r="L19"/>
  <c r="G17"/>
  <c r="J17"/>
  <c r="L17"/>
  <c r="G15"/>
  <c r="J15"/>
  <c r="L15"/>
  <c r="G13"/>
  <c r="J13"/>
  <c r="L13"/>
  <c r="H11"/>
  <c r="H24"/>
  <c r="H22"/>
  <c r="H20"/>
  <c r="H18"/>
  <c r="H16"/>
  <c r="H14"/>
  <c r="H12"/>
  <c r="P26"/>
  <c r="Q26"/>
  <c r="D11"/>
  <c r="E11"/>
  <c r="D24"/>
  <c r="E24"/>
  <c r="D22"/>
  <c r="E22"/>
  <c r="D20"/>
  <c r="E20"/>
  <c r="D18"/>
  <c r="E18"/>
  <c r="D16"/>
  <c r="E16"/>
  <c r="D14"/>
  <c r="E14"/>
  <c r="D12"/>
  <c r="E12"/>
  <c r="F12"/>
  <c r="F13"/>
  <c r="F14"/>
  <c r="F15"/>
  <c r="F16"/>
  <c r="F17"/>
  <c r="F18"/>
  <c r="F19"/>
  <c r="F20"/>
  <c r="F21"/>
  <c r="F22"/>
  <c r="F23"/>
  <c r="F24"/>
  <c r="G11"/>
  <c r="G24"/>
  <c r="J24"/>
  <c r="L24"/>
  <c r="G22"/>
  <c r="J22"/>
  <c r="L22"/>
  <c r="G20"/>
  <c r="J20"/>
  <c r="L20"/>
  <c r="G18"/>
  <c r="J18"/>
  <c r="L18"/>
  <c r="G16"/>
  <c r="J16"/>
  <c r="L16"/>
  <c r="G14"/>
  <c r="J14"/>
  <c r="L14"/>
  <c r="G12"/>
  <c r="J12"/>
  <c r="L12"/>
  <c r="H23"/>
  <c r="H21"/>
  <c r="H19"/>
  <c r="H17"/>
  <c r="H15"/>
  <c r="H13"/>
  <c r="AA27" i="2"/>
  <c r="AB28"/>
  <c r="AA29"/>
  <c r="AA28"/>
  <c r="R26"/>
  <c r="R28"/>
  <c r="AB27"/>
  <c r="AK14" i="3"/>
  <c r="AL14"/>
  <c r="X11"/>
  <c r="X24"/>
  <c r="X22"/>
  <c r="X20"/>
  <c r="X18"/>
  <c r="X16"/>
  <c r="X14"/>
  <c r="X12"/>
  <c r="BF26"/>
  <c r="AG29"/>
  <c r="AK23"/>
  <c r="AL23"/>
  <c r="BZ29"/>
  <c r="M24"/>
  <c r="N24"/>
  <c r="M16"/>
  <c r="N16"/>
  <c r="M20"/>
  <c r="N20"/>
  <c r="M12"/>
  <c r="N12"/>
  <c r="BF28"/>
  <c r="AK13"/>
  <c r="AL13"/>
  <c r="M22"/>
  <c r="N22"/>
  <c r="M18"/>
  <c r="N18"/>
  <c r="M14"/>
  <c r="N14"/>
  <c r="U11"/>
  <c r="V11"/>
  <c r="BV20"/>
  <c r="BW20"/>
  <c r="U23"/>
  <c r="V23"/>
  <c r="U21"/>
  <c r="V21"/>
  <c r="U19"/>
  <c r="V19"/>
  <c r="U17"/>
  <c r="V17"/>
  <c r="U15"/>
  <c r="V15"/>
  <c r="U13"/>
  <c r="V13"/>
  <c r="I26"/>
  <c r="BK29"/>
  <c r="AB26"/>
  <c r="AC26"/>
  <c r="W19"/>
  <c r="Y19"/>
  <c r="Z19"/>
  <c r="AY12"/>
  <c r="BA12"/>
  <c r="CU28"/>
  <c r="AK12"/>
  <c r="AL12"/>
  <c r="AL28"/>
  <c r="AJ28"/>
  <c r="AK15"/>
  <c r="AL15"/>
  <c r="AK17"/>
  <c r="AL17"/>
  <c r="AK19"/>
  <c r="AL19"/>
  <c r="AK20"/>
  <c r="AL20"/>
  <c r="AK21"/>
  <c r="AL21"/>
  <c r="AK22"/>
  <c r="AL22"/>
  <c r="M23"/>
  <c r="M19"/>
  <c r="M15"/>
  <c r="CU27"/>
  <c r="AK28"/>
  <c r="CE16"/>
  <c r="K17"/>
  <c r="AE12"/>
  <c r="M21"/>
  <c r="N21"/>
  <c r="BI17"/>
  <c r="BH28"/>
  <c r="BA15"/>
  <c r="BB15"/>
  <c r="BV15"/>
  <c r="BW15"/>
  <c r="BA11"/>
  <c r="BB11"/>
  <c r="BV11"/>
  <c r="BW11"/>
  <c r="M17"/>
  <c r="N17"/>
  <c r="BV16"/>
  <c r="BW16"/>
  <c r="BF29"/>
  <c r="BO12"/>
  <c r="BP12"/>
  <c r="BV12"/>
  <c r="BW12"/>
  <c r="CB28"/>
  <c r="CB29"/>
  <c r="BA18"/>
  <c r="BB18"/>
  <c r="AS29"/>
  <c r="BV18"/>
  <c r="BW18"/>
  <c r="BU28"/>
  <c r="M26"/>
  <c r="U26"/>
  <c r="V26"/>
  <c r="X26"/>
  <c r="AD26"/>
  <c r="AE26"/>
  <c r="W11"/>
  <c r="Y11"/>
  <c r="Z11"/>
  <c r="O14"/>
  <c r="Q14"/>
  <c r="R14"/>
  <c r="O18"/>
  <c r="Q18"/>
  <c r="R18"/>
  <c r="O22"/>
  <c r="Q22"/>
  <c r="R22"/>
  <c r="BA13"/>
  <c r="BB13"/>
  <c r="BA14"/>
  <c r="BB14"/>
  <c r="BA17"/>
  <c r="BB17"/>
  <c r="BA19"/>
  <c r="BB19"/>
  <c r="BA20"/>
  <c r="BB20"/>
  <c r="BA23"/>
  <c r="BB23"/>
  <c r="H26"/>
  <c r="O21"/>
  <c r="Q21"/>
  <c r="R21"/>
  <c r="BV17"/>
  <c r="BA21"/>
  <c r="BB21"/>
  <c r="AD28"/>
  <c r="AD29"/>
  <c r="BI12"/>
  <c r="BH26"/>
  <c r="N15"/>
  <c r="O15"/>
  <c r="Q15"/>
  <c r="R15"/>
  <c r="N19"/>
  <c r="O19"/>
  <c r="Q19"/>
  <c r="R19"/>
  <c r="N23"/>
  <c r="O23"/>
  <c r="Q23"/>
  <c r="R23"/>
  <c r="V20"/>
  <c r="W20"/>
  <c r="Y20"/>
  <c r="Z20"/>
  <c r="BM29"/>
  <c r="W21"/>
  <c r="Y21"/>
  <c r="Z21"/>
  <c r="W13"/>
  <c r="Y13"/>
  <c r="Z13"/>
  <c r="W15"/>
  <c r="W17"/>
  <c r="Y17"/>
  <c r="Z17"/>
  <c r="W23"/>
  <c r="W26"/>
  <c r="O20"/>
  <c r="Q20"/>
  <c r="R20"/>
  <c r="O16"/>
  <c r="Q16"/>
  <c r="R16"/>
  <c r="O24"/>
  <c r="Q24"/>
  <c r="R24"/>
  <c r="AD20"/>
  <c r="AE20"/>
  <c r="AI26"/>
  <c r="AH26"/>
  <c r="AP28"/>
  <c r="W22"/>
  <c r="O13"/>
  <c r="Q13"/>
  <c r="R13"/>
  <c r="AP26"/>
  <c r="AP29"/>
  <c r="AQ26"/>
  <c r="BW17"/>
  <c r="BV28"/>
  <c r="J26"/>
  <c r="K26"/>
  <c r="H29"/>
  <c r="N26"/>
  <c r="O26"/>
  <c r="Q26"/>
  <c r="R26"/>
  <c r="AI29"/>
  <c r="AW28"/>
  <c r="AY16"/>
  <c r="BA16"/>
  <c r="BB16"/>
  <c r="AW26"/>
  <c r="AZ28"/>
  <c r="AZ29"/>
  <c r="BI26"/>
  <c r="BI29"/>
  <c r="BH29"/>
  <c r="AY26"/>
  <c r="AW29"/>
  <c r="BA26"/>
  <c r="BB26"/>
  <c r="CE18"/>
  <c r="CD28"/>
  <c r="CE28"/>
  <c r="CE13"/>
  <c r="CD26"/>
  <c r="AK26"/>
  <c r="AJ29"/>
  <c r="AU26"/>
  <c r="AT29"/>
  <c r="N11"/>
  <c r="O11"/>
  <c r="Q11"/>
  <c r="R11"/>
  <c r="V12"/>
  <c r="W12"/>
  <c r="Y12"/>
  <c r="AQ28"/>
  <c r="AQ29"/>
  <c r="AU28"/>
  <c r="BB12"/>
  <c r="BB28"/>
  <c r="BB29"/>
  <c r="BA28"/>
  <c r="BA29"/>
  <c r="BP11"/>
  <c r="BO26"/>
  <c r="BO29"/>
  <c r="BP17"/>
  <c r="BP28"/>
  <c r="BO28"/>
  <c r="V24"/>
  <c r="W24"/>
  <c r="Y24"/>
  <c r="Z24"/>
  <c r="W18"/>
  <c r="Y18"/>
  <c r="Z18"/>
  <c r="V18"/>
  <c r="W16"/>
  <c r="Y16"/>
  <c r="Z16"/>
  <c r="V16"/>
  <c r="V14"/>
  <c r="W14"/>
  <c r="Y14"/>
  <c r="Z14"/>
  <c r="AE29"/>
  <c r="AE28"/>
  <c r="AY28"/>
  <c r="AY29"/>
  <c r="O17"/>
  <c r="Q17"/>
  <c r="R17"/>
  <c r="O12"/>
  <c r="Q12"/>
  <c r="J12"/>
  <c r="BT28"/>
  <c r="BV13"/>
  <c r="BW13"/>
  <c r="BV19"/>
  <c r="BW19"/>
  <c r="BV21"/>
  <c r="BW21"/>
  <c r="BV23"/>
  <c r="BW23"/>
  <c r="BW28"/>
  <c r="BT29"/>
  <c r="BU29"/>
  <c r="BV26"/>
  <c r="K12"/>
  <c r="J28"/>
  <c r="J29"/>
  <c r="R12"/>
  <c r="R28"/>
  <c r="R29"/>
  <c r="Q28"/>
  <c r="Q29"/>
  <c r="AK29"/>
  <c r="AL26"/>
  <c r="AL29"/>
  <c r="BP26"/>
  <c r="BP29"/>
  <c r="AU29"/>
  <c r="Y26"/>
  <c r="Z12"/>
  <c r="Z28"/>
  <c r="Y28"/>
  <c r="CE26"/>
  <c r="CE29"/>
  <c r="CD29"/>
  <c r="BW26"/>
  <c r="BV29"/>
  <c r="Y29"/>
  <c r="Z26"/>
  <c r="Z29"/>
  <c r="K28"/>
  <c r="K29"/>
  <c r="BW29"/>
  <c r="CL28"/>
  <c r="CL26"/>
  <c r="CL29"/>
  <c r="CU29"/>
  <c r="CR14"/>
  <c r="CS14"/>
  <c r="CV14"/>
  <c r="CR16"/>
  <c r="CS16"/>
  <c r="CV16"/>
  <c r="CR20"/>
  <c r="CS20"/>
  <c r="CV20"/>
  <c r="CR13"/>
  <c r="CS13"/>
  <c r="CV13"/>
  <c r="CR15"/>
  <c r="CS15"/>
  <c r="CV15"/>
  <c r="CR17"/>
  <c r="CS17"/>
  <c r="CV17"/>
  <c r="CR19"/>
  <c r="CS19"/>
  <c r="CV19"/>
  <c r="CR21"/>
  <c r="CS21"/>
  <c r="CV21"/>
  <c r="CR23"/>
  <c r="CS23"/>
  <c r="CV23"/>
  <c r="CR18"/>
  <c r="CS18"/>
  <c r="CV18"/>
  <c r="CR12"/>
  <c r="CR28"/>
  <c r="CR22"/>
  <c r="CS22"/>
  <c r="CV22"/>
  <c r="CR24"/>
  <c r="CS24"/>
  <c r="CV24"/>
  <c r="CS12"/>
  <c r="CR26"/>
  <c r="CR29"/>
  <c r="CS26"/>
  <c r="CS28"/>
  <c r="CV12"/>
  <c r="CV28"/>
  <c r="CV27"/>
  <c r="CS29"/>
  <c r="CV26"/>
  <c r="CV29"/>
  <c r="AV15" i="4"/>
  <c r="AO15"/>
  <c r="AT15"/>
  <c r="AU15"/>
  <c r="AP15"/>
  <c r="AQ15"/>
  <c r="AW15"/>
  <c r="AW22"/>
  <c r="AO22"/>
  <c r="AW12"/>
  <c r="AP12"/>
  <c r="AQ12"/>
  <c r="AT12"/>
  <c r="AU12"/>
  <c r="AO12"/>
  <c r="AW20"/>
  <c r="AP20"/>
  <c r="AQ20"/>
  <c r="AR20"/>
  <c r="AS20"/>
  <c r="AT20"/>
  <c r="AU20"/>
  <c r="AV20"/>
  <c r="AO20"/>
  <c r="R11"/>
  <c r="F13"/>
  <c r="G13"/>
  <c r="H13"/>
  <c r="I13"/>
  <c r="F17"/>
  <c r="G17"/>
  <c r="H17"/>
  <c r="F21"/>
  <c r="G21"/>
  <c r="H21"/>
  <c r="S15"/>
  <c r="T15"/>
  <c r="S19"/>
  <c r="T19"/>
  <c r="S23"/>
  <c r="T23"/>
  <c r="Z23"/>
  <c r="AA20"/>
  <c r="Z19"/>
  <c r="AA19"/>
  <c r="AA16"/>
  <c r="Z15"/>
  <c r="AA12"/>
  <c r="V28"/>
  <c r="Z11"/>
  <c r="AA11"/>
  <c r="AA27"/>
  <c r="X27"/>
  <c r="X28"/>
  <c r="AA23"/>
  <c r="AA15"/>
  <c r="BA25"/>
  <c r="BB25"/>
  <c r="P25" i="6"/>
  <c r="P28"/>
  <c r="U27"/>
  <c r="B28"/>
  <c r="K28"/>
  <c r="R28"/>
  <c r="I28"/>
  <c r="M28"/>
  <c r="T28"/>
  <c r="Q28"/>
  <c r="S28"/>
  <c r="E28"/>
  <c r="C28"/>
  <c r="U25"/>
  <c r="G28"/>
  <c r="V27"/>
  <c r="V25"/>
  <c r="V28"/>
  <c r="U28"/>
  <c r="E23" i="4"/>
  <c r="K23"/>
  <c r="F23"/>
  <c r="G23"/>
  <c r="H23"/>
  <c r="I23"/>
  <c r="E17"/>
  <c r="AF27" i="1"/>
  <c r="T25" i="7"/>
  <c r="T23"/>
  <c r="U25"/>
  <c r="U26"/>
  <c r="C26"/>
  <c r="T26"/>
  <c r="Q30" i="1"/>
  <c r="H30"/>
  <c r="P30"/>
  <c r="P29"/>
  <c r="X26"/>
  <c r="Z26"/>
  <c r="Y26"/>
  <c r="AA26"/>
  <c r="M18"/>
  <c r="AS18"/>
  <c r="M19"/>
  <c r="AS19"/>
  <c r="M16"/>
  <c r="AS16"/>
  <c r="M24"/>
  <c r="AS24"/>
  <c r="M17"/>
  <c r="AS17"/>
  <c r="M14"/>
  <c r="AS14"/>
  <c r="M22"/>
  <c r="AS22"/>
  <c r="M15"/>
  <c r="AS15"/>
  <c r="M23"/>
  <c r="AS23"/>
  <c r="M12"/>
  <c r="L30"/>
  <c r="AR30"/>
  <c r="M20"/>
  <c r="AS20"/>
  <c r="M13"/>
  <c r="AS13"/>
  <c r="M21"/>
  <c r="AS21"/>
  <c r="L27"/>
  <c r="M11"/>
  <c r="AS11"/>
  <c r="AA11"/>
  <c r="AB11"/>
  <c r="Z11"/>
  <c r="U26"/>
  <c r="AL17"/>
  <c r="AO17"/>
  <c r="AP17"/>
  <c r="V26"/>
  <c r="AG16"/>
  <c r="AH16"/>
  <c r="AH30"/>
  <c r="AH29"/>
  <c r="Q29"/>
  <c r="AL23"/>
  <c r="AO23"/>
  <c r="AP23"/>
  <c r="AL19"/>
  <c r="AO19"/>
  <c r="AP19"/>
  <c r="AL15"/>
  <c r="AA24"/>
  <c r="AB24"/>
  <c r="Z24"/>
  <c r="H26"/>
  <c r="H29"/>
  <c r="D26"/>
  <c r="E26"/>
  <c r="AA17"/>
  <c r="AB17"/>
  <c r="Z17"/>
  <c r="AL11"/>
  <c r="AO11"/>
  <c r="AP11"/>
  <c r="AJ27"/>
  <c r="AG20"/>
  <c r="AH20"/>
  <c r="O27"/>
  <c r="J30"/>
  <c r="H27"/>
  <c r="AE26"/>
  <c r="AG26"/>
  <c r="AH26"/>
  <c r="AG22"/>
  <c r="AH22"/>
  <c r="AG14"/>
  <c r="AH14"/>
  <c r="AF30"/>
  <c r="AF29"/>
  <c r="AB26"/>
  <c r="Z21"/>
  <c r="AA21"/>
  <c r="AB21"/>
  <c r="Z14"/>
  <c r="AA14"/>
  <c r="AB14"/>
  <c r="AO15"/>
  <c r="AP15"/>
  <c r="AA22"/>
  <c r="AB22"/>
  <c r="Z22"/>
  <c r="AA18"/>
  <c r="AB18"/>
  <c r="Z18"/>
  <c r="Z15"/>
  <c r="AA15"/>
  <c r="AB15"/>
  <c r="Q27"/>
  <c r="AP13"/>
  <c r="AP16"/>
  <c r="AO30"/>
  <c r="AA23"/>
  <c r="AB23"/>
  <c r="Z23"/>
  <c r="Z19"/>
  <c r="AA19"/>
  <c r="AB19"/>
  <c r="AA16"/>
  <c r="AB16"/>
  <c r="Z16"/>
  <c r="AA12"/>
  <c r="Z12"/>
  <c r="AG30"/>
  <c r="AP30"/>
  <c r="Z20"/>
  <c r="AA20"/>
  <c r="AB20"/>
  <c r="AA13"/>
  <c r="AB13"/>
  <c r="Z13"/>
  <c r="F26"/>
  <c r="G26"/>
  <c r="J26"/>
  <c r="L26"/>
  <c r="AR27"/>
  <c r="AS12"/>
  <c r="AS30"/>
  <c r="M30"/>
  <c r="L29"/>
  <c r="M26"/>
  <c r="M27"/>
  <c r="AL26"/>
  <c r="AO26"/>
  <c r="AO29"/>
  <c r="AL27"/>
  <c r="AH27"/>
  <c r="J27"/>
  <c r="AG27"/>
  <c r="AG29"/>
  <c r="AO27"/>
  <c r="AP27"/>
  <c r="AP26"/>
  <c r="AP29"/>
  <c r="AB12"/>
  <c r="AB30"/>
  <c r="AB29"/>
  <c r="AA30"/>
  <c r="AA29"/>
  <c r="J29"/>
  <c r="AS27"/>
  <c r="AS26"/>
  <c r="M29"/>
  <c r="AS29"/>
  <c r="AR29"/>
  <c r="AO14" i="4"/>
  <c r="AR14"/>
  <c r="AS14"/>
  <c r="AV14"/>
  <c r="AP14"/>
  <c r="AQ14"/>
  <c r="AT14"/>
  <c r="AU14"/>
  <c r="AW14"/>
  <c r="J25"/>
  <c r="E25"/>
  <c r="E16"/>
  <c r="E13"/>
  <c r="K13"/>
  <c r="J13"/>
  <c r="AA25"/>
  <c r="AA28"/>
  <c r="J10"/>
  <c r="I10"/>
  <c r="K10"/>
  <c r="J15"/>
  <c r="I15"/>
  <c r="AT19"/>
  <c r="AU19"/>
  <c r="AP19"/>
  <c r="AQ19"/>
  <c r="AV19"/>
  <c r="AR19"/>
  <c r="AS19"/>
  <c r="AW19"/>
  <c r="AO19"/>
  <c r="E20"/>
  <c r="K20"/>
  <c r="BE20"/>
  <c r="J20"/>
  <c r="BD20"/>
  <c r="E14"/>
  <c r="I25"/>
  <c r="BB27"/>
  <c r="AT21"/>
  <c r="AU21"/>
  <c r="AP21"/>
  <c r="AQ21"/>
  <c r="AV21"/>
  <c r="AR21"/>
  <c r="AS21"/>
  <c r="AW21"/>
  <c r="AO21"/>
  <c r="E19"/>
  <c r="K19"/>
  <c r="BE19"/>
  <c r="J17"/>
  <c r="BD17"/>
  <c r="I17"/>
  <c r="K17"/>
  <c r="AO10"/>
  <c r="AW10"/>
  <c r="AR10"/>
  <c r="AS10"/>
  <c r="AV10"/>
  <c r="AP10"/>
  <c r="AQ10"/>
  <c r="AT10"/>
  <c r="AU10"/>
  <c r="J11"/>
  <c r="I11"/>
  <c r="AV13"/>
  <c r="AO13"/>
  <c r="AR13"/>
  <c r="AS13"/>
  <c r="AW13"/>
  <c r="AT13"/>
  <c r="AU13"/>
  <c r="AP13"/>
  <c r="AQ13"/>
  <c r="AA13"/>
  <c r="BE13"/>
  <c r="Z26"/>
  <c r="E27"/>
  <c r="BB28"/>
  <c r="BD10"/>
  <c r="J23"/>
  <c r="I21"/>
  <c r="J21"/>
  <c r="BD21"/>
  <c r="AR11"/>
  <c r="AT11"/>
  <c r="AO11"/>
  <c r="AV11"/>
  <c r="AP11"/>
  <c r="AN27"/>
  <c r="AW11"/>
  <c r="AP16"/>
  <c r="AQ16"/>
  <c r="AW16"/>
  <c r="AO16"/>
  <c r="AR16"/>
  <c r="AS16"/>
  <c r="AT16"/>
  <c r="AU16"/>
  <c r="AV16"/>
  <c r="J18"/>
  <c r="I18"/>
  <c r="K18"/>
  <c r="AW18"/>
  <c r="AO18"/>
  <c r="AR18"/>
  <c r="AS18"/>
  <c r="AV18"/>
  <c r="AP18"/>
  <c r="AQ18"/>
  <c r="AT18"/>
  <c r="AU18"/>
  <c r="AN28"/>
  <c r="AW25"/>
  <c r="AR25"/>
  <c r="AV25"/>
  <c r="AT25"/>
  <c r="AP25"/>
  <c r="E12"/>
  <c r="K12"/>
  <c r="BE12"/>
  <c r="J12"/>
  <c r="BD12"/>
  <c r="K21"/>
  <c r="K15"/>
  <c r="BE15"/>
  <c r="K22"/>
  <c r="BE17"/>
  <c r="F19"/>
  <c r="G19"/>
  <c r="H19"/>
  <c r="I19"/>
  <c r="J22"/>
  <c r="BD22"/>
  <c r="AF28"/>
  <c r="BA28"/>
  <c r="Q28"/>
  <c r="Z27"/>
  <c r="Z28"/>
  <c r="AA10"/>
  <c r="Y27"/>
  <c r="Y28"/>
  <c r="AV12"/>
  <c r="AP23"/>
  <c r="AQ23"/>
  <c r="BE23"/>
  <c r="AT23"/>
  <c r="AU23"/>
  <c r="AV22"/>
  <c r="AR22"/>
  <c r="AS22"/>
  <c r="BE22"/>
  <c r="AO17"/>
  <c r="AV17"/>
  <c r="F14"/>
  <c r="G14"/>
  <c r="H14"/>
  <c r="I14"/>
  <c r="D27"/>
  <c r="D28"/>
  <c r="AW23"/>
  <c r="AR23"/>
  <c r="AS23"/>
  <c r="AV23"/>
  <c r="AT22"/>
  <c r="AU22"/>
  <c r="AG11"/>
  <c r="AG27"/>
  <c r="AG28"/>
  <c r="BA27"/>
  <c r="S16"/>
  <c r="T16"/>
  <c r="R12"/>
  <c r="F16"/>
  <c r="G16"/>
  <c r="H16"/>
  <c r="I16"/>
  <c r="R20"/>
  <c r="AJ25"/>
  <c r="AJ28"/>
  <c r="S18"/>
  <c r="T18"/>
  <c r="BE18"/>
  <c r="S14"/>
  <c r="T14"/>
  <c r="AW17"/>
  <c r="T10"/>
  <c r="BE10"/>
  <c r="BD18"/>
  <c r="S25"/>
  <c r="N28"/>
  <c r="O28"/>
  <c r="M28"/>
  <c r="BD13"/>
  <c r="BD15"/>
  <c r="T11"/>
  <c r="T21"/>
  <c r="BE21"/>
  <c r="BD11"/>
  <c r="AU25"/>
  <c r="AQ25"/>
  <c r="BD23"/>
  <c r="H27"/>
  <c r="H28"/>
  <c r="K14"/>
  <c r="BE14"/>
  <c r="S27"/>
  <c r="AW27"/>
  <c r="AW28"/>
  <c r="I27"/>
  <c r="J19"/>
  <c r="BD19"/>
  <c r="J14"/>
  <c r="BD14"/>
  <c r="K25"/>
  <c r="K28"/>
  <c r="E28"/>
  <c r="AS25"/>
  <c r="AQ11"/>
  <c r="AQ27"/>
  <c r="AP27"/>
  <c r="AP28"/>
  <c r="AS11"/>
  <c r="AS27"/>
  <c r="AR27"/>
  <c r="AR28"/>
  <c r="AV27"/>
  <c r="AV28"/>
  <c r="I28"/>
  <c r="K16"/>
  <c r="BE16"/>
  <c r="K11"/>
  <c r="K27"/>
  <c r="J16"/>
  <c r="BD16"/>
  <c r="BD27"/>
  <c r="AT27"/>
  <c r="AT28"/>
  <c r="AU11"/>
  <c r="AU27"/>
  <c r="T27"/>
  <c r="BE11"/>
  <c r="BD25"/>
  <c r="S28"/>
  <c r="T25"/>
  <c r="BD28"/>
  <c r="J27"/>
  <c r="J28"/>
  <c r="AS28"/>
  <c r="AU28"/>
  <c r="AQ28"/>
  <c r="BD26"/>
  <c r="BE27"/>
  <c r="BE26"/>
  <c r="BE25"/>
  <c r="T28"/>
  <c r="BE28"/>
</calcChain>
</file>

<file path=xl/sharedStrings.xml><?xml version="1.0" encoding="utf-8"?>
<sst xmlns="http://schemas.openxmlformats.org/spreadsheetml/2006/main" count="1411" uniqueCount="475">
  <si>
    <t>24-15-000-000</t>
  </si>
  <si>
    <t>POST</t>
  </si>
  <si>
    <t>CONSUMER</t>
  </si>
  <si>
    <t>GRAPHIC</t>
  </si>
  <si>
    <t>24-25-000-000</t>
  </si>
  <si>
    <t>CBP EMPL</t>
  </si>
  <si>
    <t>VAPOR/</t>
  </si>
  <si>
    <t>CONTROL</t>
  </si>
  <si>
    <t>ARTS</t>
  </si>
  <si>
    <t>UNCONTR</t>
  </si>
  <si>
    <t>IN-LINE</t>
  </si>
  <si>
    <t>TOTAL</t>
  </si>
  <si>
    <t>EF 7.84/CAP</t>
  </si>
  <si>
    <t>SSEIS</t>
  </si>
  <si>
    <t>NET</t>
  </si>
  <si>
    <t xml:space="preserve">COLD </t>
  </si>
  <si>
    <t>COLD CLEAN</t>
  </si>
  <si>
    <t>CLEAN</t>
  </si>
  <si>
    <t>DEGREAS</t>
  </si>
  <si>
    <t>EMISS</t>
  </si>
  <si>
    <t>0.2*1.0*0.5</t>
  </si>
  <si>
    <t xml:space="preserve"> /52*5</t>
  </si>
  <si>
    <t>CLEANING</t>
  </si>
  <si>
    <t>VOC</t>
  </si>
  <si>
    <t>POP</t>
  </si>
  <si>
    <t>TPY</t>
  </si>
  <si>
    <t>TPSD</t>
  </si>
  <si>
    <t>To Apportion</t>
  </si>
  <si>
    <t>ANNUAL</t>
  </si>
  <si>
    <t>%</t>
  </si>
  <si>
    <t xml:space="preserve"> /312</t>
  </si>
  <si>
    <t>BARNSTABLE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</si>
  <si>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</si>
  <si>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</si>
  <si>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</si>
  <si>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</si>
  <si>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</si>
  <si>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</si>
  <si>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</si>
  <si>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</si>
  <si>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</si>
  <si>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</si>
  <si>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</si>
  <si>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</si>
  <si>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 *</t>
  </si>
  <si>
    <t xml:space="preserve">WORCESTER </t>
  </si>
  <si>
    <t>STATE TOTAL</t>
  </si>
  <si>
    <t>EASTERN MA</t>
  </si>
  <si>
    <t>WESTERN MA</t>
  </si>
  <si>
    <t>EMIS</t>
  </si>
  <si>
    <t>402007****</t>
  </si>
  <si>
    <t>24-40-020-000</t>
  </si>
  <si>
    <t>POINT</t>
  </si>
  <si>
    <t>AREA</t>
  </si>
  <si>
    <t>EF 0.1081 LB/CAP</t>
  </si>
  <si>
    <t xml:space="preserve">  (degr RE/RP, adhesives)</t>
  </si>
  <si>
    <t xml:space="preserve">STATIONARY </t>
  </si>
  <si>
    <t>EVAPORATION</t>
  </si>
  <si>
    <t xml:space="preserve">CBP  </t>
  </si>
  <si>
    <t>EMPLOY</t>
  </si>
  <si>
    <t>EMP</t>
  </si>
  <si>
    <t xml:space="preserve">SSEIS </t>
  </si>
  <si>
    <t>YEAR</t>
  </si>
  <si>
    <t>NAICS 31</t>
  </si>
  <si>
    <t>Percent</t>
  </si>
  <si>
    <t>FOR EIS</t>
  </si>
  <si>
    <t>INPUT ACT</t>
  </si>
  <si>
    <t>FACTOR</t>
  </si>
  <si>
    <t>SUM DAY</t>
  </si>
  <si>
    <t>DAY</t>
  </si>
  <si>
    <t>3. DRY CLEANING</t>
  </si>
  <si>
    <t>4. GRAPHIC</t>
  </si>
  <si>
    <t xml:space="preserve"> 5. INDUSTRIAL ADHESIVES AND SEALANTS</t>
  </si>
  <si>
    <t xml:space="preserve"> 24-20-000-000</t>
  </si>
  <si>
    <t>POP *</t>
  </si>
  <si>
    <t xml:space="preserve">           24-60-000-000</t>
  </si>
  <si>
    <t xml:space="preserve">  (For apportioning to county)</t>
  </si>
  <si>
    <t>VOC TPY</t>
  </si>
  <si>
    <t xml:space="preserve"> /312 DAYS</t>
  </si>
  <si>
    <t>SUMM</t>
  </si>
  <si>
    <t>COMMER  SOLVENTS</t>
  </si>
  <si>
    <t>DEGR</t>
  </si>
  <si>
    <t>CONS</t>
  </si>
  <si>
    <t>COMM</t>
  </si>
  <si>
    <t>SOLV</t>
  </si>
  <si>
    <t>3.3-16</t>
  </si>
  <si>
    <t>3.3-17</t>
  </si>
  <si>
    <t>ARCHITECTURAL AND INDUSTRIAL MAINTENANCE COATING (AIM)</t>
  </si>
  <si>
    <t xml:space="preserve">       AUTO BODY REFINISHING</t>
  </si>
  <si>
    <t xml:space="preserve"> ARCHITECTURAL SOLVENT COAT</t>
  </si>
  <si>
    <t>TRAFFIC PAINTS</t>
  </si>
  <si>
    <t>HIGH PERF. MAINT</t>
  </si>
  <si>
    <t>OTHER SP PURPOSE COAT</t>
  </si>
  <si>
    <t xml:space="preserve">      24-01-005-000</t>
  </si>
  <si>
    <t>24-01-001-000</t>
  </si>
  <si>
    <t>24-01-008-000</t>
  </si>
  <si>
    <t xml:space="preserve">    24-01-100-000</t>
  </si>
  <si>
    <t xml:space="preserve">  24-01-200-000</t>
  </si>
  <si>
    <t>AIM &amp; AUTO</t>
  </si>
  <si>
    <t>Pechan EF PCAP</t>
  </si>
  <si>
    <t xml:space="preserve">AIM </t>
  </si>
  <si>
    <t>EM FAC</t>
  </si>
  <si>
    <t>REFINISH</t>
  </si>
  <si>
    <t xml:space="preserve"> /365</t>
  </si>
  <si>
    <t xml:space="preserve"> /260</t>
  </si>
  <si>
    <t xml:space="preserve"> /365 </t>
  </si>
  <si>
    <t xml:space="preserve">TOTAL </t>
  </si>
  <si>
    <t>COATINGS</t>
  </si>
  <si>
    <t xml:space="preserve"> *1.3</t>
  </si>
  <si>
    <t xml:space="preserve"> * 1.3</t>
  </si>
  <si>
    <t>NAICS</t>
  </si>
  <si>
    <t>PER  EMP</t>
  </si>
  <si>
    <t>VOC EM</t>
  </si>
  <si>
    <t>POPULATION</t>
  </si>
  <si>
    <t>/365 * 1.3</t>
  </si>
  <si>
    <t xml:space="preserve"> VOC TPY</t>
  </si>
  <si>
    <t>Sum day</t>
  </si>
  <si>
    <t>WORCESTER</t>
  </si>
  <si>
    <t xml:space="preserve">   ---------</t>
  </si>
  <si>
    <t xml:space="preserve"> ---------------</t>
  </si>
  <si>
    <t>E.MA</t>
  </si>
  <si>
    <t>W.MA</t>
  </si>
  <si>
    <t>3.3-18</t>
  </si>
  <si>
    <t>1.WOOD FURNITURE &amp; FIXTURES</t>
  </si>
  <si>
    <t xml:space="preserve">         2.METAL FURNITURE</t>
  </si>
  <si>
    <t xml:space="preserve">          3.METAL  CAN CONTAINERS</t>
  </si>
  <si>
    <t xml:space="preserve">    5.MACHINERY &amp; EQUIPMENT</t>
  </si>
  <si>
    <t xml:space="preserve">                6. APPLIANCES</t>
  </si>
  <si>
    <t>7.OTHER TRANSPORTATION EQUIP -AIRCRAFT</t>
  </si>
  <si>
    <t>8.OTHER TRANSPORTATION EQUIPMENT - MARINE</t>
  </si>
  <si>
    <t xml:space="preserve">      9.OTHER TRANSPORTATION EQUIPMENT - LOCOMOTIVES</t>
  </si>
  <si>
    <t xml:space="preserve">             10.SHEET, STRIP, METAL COIL</t>
  </si>
  <si>
    <t xml:space="preserve">         11. FACTORY FINISH WOOD</t>
  </si>
  <si>
    <t>12. ELECTRIC &amp; ELECTRONIC COATINGS</t>
  </si>
  <si>
    <t>13.MISCELLANEOUS MANUFAC</t>
  </si>
  <si>
    <t>14. PAPER, FILM &amp; FOIL</t>
  </si>
  <si>
    <t xml:space="preserve">  SCC: 24-01-020-000</t>
  </si>
  <si>
    <t>24-01-040-000</t>
  </si>
  <si>
    <t>24-01-070-000</t>
  </si>
  <si>
    <t xml:space="preserve">       24-01-055-000</t>
  </si>
  <si>
    <t xml:space="preserve">                    24-01-060-000</t>
  </si>
  <si>
    <t>24-01-075-000</t>
  </si>
  <si>
    <t>24-01-085-000</t>
  </si>
  <si>
    <t xml:space="preserve">                    24-01-045-000</t>
  </si>
  <si>
    <t xml:space="preserve">               24-01-015-000</t>
  </si>
  <si>
    <t>CBP EMP</t>
  </si>
  <si>
    <t xml:space="preserve">            24-01-090-000</t>
  </si>
  <si>
    <t xml:space="preserve">     24-01-030-000</t>
  </si>
  <si>
    <t>COUNTY</t>
  </si>
  <si>
    <t>GROSS EMIS</t>
  </si>
  <si>
    <t>SIC: 3711</t>
  </si>
  <si>
    <t>CBP</t>
  </si>
  <si>
    <t>GROSS EM</t>
  </si>
  <si>
    <t>BUSINESS</t>
  </si>
  <si>
    <t>EF EMP</t>
  </si>
  <si>
    <t xml:space="preserve"> CBP</t>
  </si>
  <si>
    <t>SIC 35</t>
  </si>
  <si>
    <t>EF /EMP</t>
  </si>
  <si>
    <t>SIC 363</t>
  </si>
  <si>
    <t>EF/EMPL</t>
  </si>
  <si>
    <t>SIC 3479</t>
  </si>
  <si>
    <t xml:space="preserve"> EF/EMPL</t>
  </si>
  <si>
    <t>SIC 242,3,5,9</t>
  </si>
  <si>
    <t xml:space="preserve"> EF/EMP</t>
  </si>
  <si>
    <t>MANUF</t>
  </si>
  <si>
    <t>EMPL</t>
  </si>
  <si>
    <t>244 lb</t>
  </si>
  <si>
    <t>/260</t>
  </si>
  <si>
    <t>772 LB</t>
  </si>
  <si>
    <t>2326 LB</t>
  </si>
  <si>
    <t xml:space="preserve"> AREA</t>
  </si>
  <si>
    <t>NAICS 33*</t>
  </si>
  <si>
    <t>NAICS 332</t>
  </si>
  <si>
    <t xml:space="preserve"> EF 390.1</t>
  </si>
  <si>
    <t>NAICS 321*</t>
  </si>
  <si>
    <t>COUNTIES</t>
  </si>
  <si>
    <t xml:space="preserve"> 331,5</t>
  </si>
  <si>
    <t>(SIC25)</t>
  </si>
  <si>
    <t>(SIC341)</t>
  </si>
  <si>
    <t xml:space="preserve"> TPY</t>
  </si>
  <si>
    <t xml:space="preserve"> =========</t>
  </si>
  <si>
    <t>=======</t>
  </si>
  <si>
    <t>=====</t>
  </si>
  <si>
    <t xml:space="preserve"> ======</t>
  </si>
  <si>
    <t>====</t>
  </si>
  <si>
    <t xml:space="preserve"> =====</t>
  </si>
  <si>
    <t>======</t>
  </si>
  <si>
    <t>========</t>
  </si>
  <si>
    <t xml:space="preserve">   =======</t>
  </si>
  <si>
    <t xml:space="preserve"> ===========</t>
  </si>
  <si>
    <t>==========</t>
  </si>
  <si>
    <t xml:space="preserve"> -----------------</t>
  </si>
  <si>
    <t xml:space="preserve">  ---------</t>
  </si>
  <si>
    <t>------</t>
  </si>
  <si>
    <t xml:space="preserve"> ------------</t>
  </si>
  <si>
    <t xml:space="preserve"> ------</t>
  </si>
  <si>
    <t xml:space="preserve"> ----------</t>
  </si>
  <si>
    <t xml:space="preserve"> ---------</t>
  </si>
  <si>
    <t xml:space="preserve"> ------------------</t>
  </si>
  <si>
    <t>STATE</t>
  </si>
  <si>
    <t>3.3-19</t>
  </si>
  <si>
    <t>3.3-21</t>
  </si>
  <si>
    <t>3.3-22</t>
  </si>
  <si>
    <t>3.3-23</t>
  </si>
  <si>
    <t>3. AGRICULTURE &amp; NON AGRICULTURAL -</t>
  </si>
  <si>
    <t xml:space="preserve">       4. BAKERIES</t>
  </si>
  <si>
    <t>23-02-070-000</t>
  </si>
  <si>
    <t>6. CATASTROPHIC</t>
  </si>
  <si>
    <t>ASPHALT PAVING</t>
  </si>
  <si>
    <t>PESTICIDE APPLICATION</t>
  </si>
  <si>
    <t>23-02-050-000</t>
  </si>
  <si>
    <t>5. BREWERIES/</t>
  </si>
  <si>
    <t xml:space="preserve">ACCIDENT </t>
  </si>
  <si>
    <t>7. ASPHALT ROOFING KETTLES &amp; TANKS</t>
  </si>
  <si>
    <t xml:space="preserve"> 8. LEAKING UNDERGROUND</t>
  </si>
  <si>
    <t>24-61-021-000</t>
  </si>
  <si>
    <t xml:space="preserve"> 24-61-022-000</t>
  </si>
  <si>
    <t xml:space="preserve"> 24-61-800-000</t>
  </si>
  <si>
    <t>NON</t>
  </si>
  <si>
    <t>GROSS</t>
  </si>
  <si>
    <t>WINERIES/</t>
  </si>
  <si>
    <t>SPILLS -PETROLEUM</t>
  </si>
  <si>
    <t xml:space="preserve"> 24-61-023-000</t>
  </si>
  <si>
    <t>AP42 T.11.1-5</t>
  </si>
  <si>
    <t>AP42 T.11.1-1</t>
  </si>
  <si>
    <t xml:space="preserve">    STORAGE TANKS</t>
  </si>
  <si>
    <t>OTHER</t>
  </si>
  <si>
    <t>1.CUTBACK</t>
  </si>
  <si>
    <t>*0.72/</t>
  </si>
  <si>
    <t xml:space="preserve">     2. EMULSIFIED </t>
  </si>
  <si>
    <t>AGRIC</t>
  </si>
  <si>
    <t>DISTILLERIES</t>
  </si>
  <si>
    <t>28-30-000-000</t>
  </si>
  <si>
    <t>NOx</t>
  </si>
  <si>
    <t>CO</t>
  </si>
  <si>
    <t>SO2</t>
  </si>
  <si>
    <t>PM10</t>
  </si>
  <si>
    <t xml:space="preserve">  26-60-000-000</t>
  </si>
  <si>
    <t xml:space="preserve"> SOLV</t>
  </si>
  <si>
    <t>65 Days</t>
  </si>
  <si>
    <t>ASPHALT</t>
  </si>
  <si>
    <t>PESTIC</t>
  </si>
  <si>
    <t>HOUS</t>
  </si>
  <si>
    <t>PEST</t>
  </si>
  <si>
    <t>311811/2</t>
  </si>
  <si>
    <t xml:space="preserve">/312 </t>
  </si>
  <si>
    <t xml:space="preserve">* 2.8 </t>
  </si>
  <si>
    <t>Summer</t>
  </si>
  <si>
    <t xml:space="preserve"> 6.2 LB</t>
  </si>
  <si>
    <t>summer</t>
  </si>
  <si>
    <t xml:space="preserve">VOC </t>
  </si>
  <si>
    <t>BARRELS</t>
  </si>
  <si>
    <t xml:space="preserve"> TPSD</t>
  </si>
  <si>
    <t>TONS</t>
  </si>
  <si>
    <t>*2.45</t>
  </si>
  <si>
    <t>UNIT%</t>
  </si>
  <si>
    <t xml:space="preserve"> EMPLOY</t>
  </si>
  <si>
    <t>plants</t>
  </si>
  <si>
    <t xml:space="preserve">TONS </t>
  </si>
  <si>
    <t xml:space="preserve">  TPSD</t>
  </si>
  <si>
    <t>USE Annual</t>
  </si>
  <si>
    <t>Day</t>
  </si>
  <si>
    <t>TPD</t>
  </si>
  <si>
    <t>Annual</t>
  </si>
  <si>
    <t>day</t>
  </si>
  <si>
    <t>Fraction</t>
  </si>
  <si>
    <t>EACH</t>
  </si>
  <si>
    <t xml:space="preserve"> /312*1.4</t>
  </si>
  <si>
    <t>3.3-24</t>
  </si>
  <si>
    <t>3.3-25</t>
  </si>
  <si>
    <t>3.3-26</t>
  </si>
  <si>
    <t xml:space="preserve">ks/inv08-Area-spillsolv-08 June 28 2011 </t>
  </si>
  <si>
    <t>DENS</t>
  </si>
  <si>
    <t>LB/GL</t>
  </si>
  <si>
    <t xml:space="preserve"> /2000</t>
  </si>
  <si>
    <t>PETRO</t>
  </si>
  <si>
    <t>FUEL</t>
  </si>
  <si>
    <t>AVIAT</t>
  </si>
  <si>
    <t>JET</t>
  </si>
  <si>
    <t>MISC</t>
  </si>
  <si>
    <t>/365</t>
  </si>
  <si>
    <t>OIL #2</t>
  </si>
  <si>
    <t>OIL #4</t>
  </si>
  <si>
    <t>OIL #6</t>
  </si>
  <si>
    <t>GASOL</t>
  </si>
  <si>
    <t>DIESEL</t>
  </si>
  <si>
    <t>KEROS</t>
  </si>
  <si>
    <t>OIL</t>
  </si>
  <si>
    <t xml:space="preserve"> ========</t>
  </si>
  <si>
    <t>===========</t>
  </si>
  <si>
    <t xml:space="preserve">  ======</t>
  </si>
  <si>
    <t xml:space="preserve">INDUSTRIAL </t>
  </si>
  <si>
    <t xml:space="preserve"> </t>
  </si>
  <si>
    <t xml:space="preserve">     2. CONSUMER/COM</t>
  </si>
  <si>
    <t>IND. ADHESIVES &amp;</t>
  </si>
  <si>
    <t>SURFACE COAT</t>
  </si>
  <si>
    <t>1. DEGREASING</t>
  </si>
  <si>
    <t xml:space="preserve">     SOLVENTS</t>
  </si>
  <si>
    <t xml:space="preserve"> 4. GRAPHIC ARTS</t>
  </si>
  <si>
    <t>SEALANTS</t>
  </si>
  <si>
    <t xml:space="preserve">            SOLVENTS</t>
  </si>
  <si>
    <t>SOLVENT</t>
  </si>
  <si>
    <t xml:space="preserve">    (Table 3.3-1)</t>
  </si>
  <si>
    <t xml:space="preserve">       (Table 3.3-2)</t>
  </si>
  <si>
    <t xml:space="preserve">       (Table 3.3-3)</t>
  </si>
  <si>
    <t xml:space="preserve">           (Table 3.3-4)</t>
  </si>
  <si>
    <t xml:space="preserve"> (* 0.66 *0.8*0.8)</t>
  </si>
  <si>
    <t xml:space="preserve"> = 4,736.9 TPY</t>
  </si>
  <si>
    <t>116,152 EMP</t>
  </si>
  <si>
    <t>per empl</t>
  </si>
  <si>
    <t xml:space="preserve">   TABLE 3.3-1  2011 DEGREASING, CONS/COM SOLVENTS, DRY CLEANING, GRAPHIC ARTS &amp; ADHESIVES EMISSIONS      </t>
  </si>
  <si>
    <t>549.25 lb</t>
  </si>
  <si>
    <t xml:space="preserve"> RE .90 EF=7.06</t>
  </si>
  <si>
    <t>5.92 LB/CAP</t>
  </si>
  <si>
    <t xml:space="preserve"> 7.06*0.8383 </t>
  </si>
  <si>
    <t>4,532.1 TPY / 380,085 emp * 2,000 lbs =</t>
  </si>
  <si>
    <t>AQRS</t>
  </si>
  <si>
    <t xml:space="preserve">CBP </t>
  </si>
  <si>
    <t xml:space="preserve"> /312 days</t>
  </si>
  <si>
    <t>EF 9.02</t>
  </si>
  <si>
    <t>CONTR</t>
  </si>
  <si>
    <t>365 days</t>
  </si>
  <si>
    <t xml:space="preserve">POP </t>
  </si>
  <si>
    <t>SUM</t>
  </si>
  <si>
    <t>DRY CL</t>
  </si>
  <si>
    <t>LB/CAP</t>
  </si>
  <si>
    <t>EF 1.0974</t>
  </si>
  <si>
    <t xml:space="preserve">   TABLE 3.3-1  2011 DEGREASING, CONS/COM SOLVENTS, DRY CLEANING, GRAPHIC ARTS &amp; ADHESIVES EMISSIONS (cont'd)      </t>
  </si>
  <si>
    <t>ks/inv08-area/Section-3.3-2-Non-ind-Scoat-2011 Nov 9 2012</t>
  </si>
  <si>
    <t>3.68lb*0.69</t>
  </si>
  <si>
    <t>EF 2.5392 lb</t>
  </si>
  <si>
    <t>0.40lb*.69</t>
  </si>
  <si>
    <t>ef 0.276 lb</t>
  </si>
  <si>
    <t xml:space="preserve"> 0.64lb*.69</t>
  </si>
  <si>
    <t>0.4416 lb</t>
  </si>
  <si>
    <t>TABLE 3.3-2 NON-INDUSTRIAL SURFACE COATING 2011: AIM AND AUTO REFINISHING SURFACE COATING VOC</t>
  </si>
  <si>
    <t>TABLE 3.3-3   INDUSTRIAL SURFACE COATING VOC EMISSIONS 2011</t>
  </si>
  <si>
    <t>ks/inv2011/Area/Section-3-3-5-Scoat Nov 13 2012</t>
  </si>
  <si>
    <t>NAICS 337121, 337122, 337127, 337212, 337211, 811420</t>
  </si>
  <si>
    <t xml:space="preserve">             NAICS 337121, 337124,5, 337214,5, 337910 </t>
  </si>
  <si>
    <t>NAICS 332431, 332439</t>
  </si>
  <si>
    <t>Adopt EPA's estimates of 188.76 TPY</t>
  </si>
  <si>
    <t>EF 194 LB</t>
  </si>
  <si>
    <t xml:space="preserve">                                   4.MOTOR VEHICLES (NEW)</t>
  </si>
  <si>
    <t>/doc/</t>
  </si>
  <si>
    <t>ftp://ftp.epa.gov/EmisInventory/2011nei/2011</t>
  </si>
  <si>
    <t>NAICS: 3331,2,3, 33341</t>
  </si>
  <si>
    <t>EPA/ERTAC</t>
  </si>
  <si>
    <t>51.64LB</t>
  </si>
  <si>
    <t>28.0 TPY</t>
  </si>
  <si>
    <t>3.3-20</t>
  </si>
  <si>
    <t>SCC: 24-01-025-000</t>
  </si>
  <si>
    <t>ERTAC</t>
  </si>
  <si>
    <t>3352*</t>
  </si>
  <si>
    <t>208.83 LB</t>
  </si>
  <si>
    <t>ERTAC METHOD</t>
  </si>
  <si>
    <t>EF 12.98 LB</t>
  </si>
  <si>
    <t>AIRCRAFT</t>
  </si>
  <si>
    <t>EF 225.4 LB</t>
  </si>
  <si>
    <t>ERTAC EF</t>
  </si>
  <si>
    <t>MA-AQRS</t>
  </si>
  <si>
    <t xml:space="preserve"> EM</t>
  </si>
  <si>
    <t>EF 208.3 LB</t>
  </si>
  <si>
    <t>INPUT TO NEI</t>
  </si>
  <si>
    <t>15.3 TPY</t>
  </si>
  <si>
    <t>335311, 921, 929</t>
  </si>
  <si>
    <t xml:space="preserve">AQRS </t>
  </si>
  <si>
    <t xml:space="preserve">     TOTAL </t>
  </si>
  <si>
    <t xml:space="preserve">     INDUSTRIAL</t>
  </si>
  <si>
    <t xml:space="preserve">     SURFACE</t>
  </si>
  <si>
    <t xml:space="preserve">     COATING</t>
  </si>
  <si>
    <t xml:space="preserve">     EMISSIONS </t>
  </si>
  <si>
    <t>176.18 EF</t>
  </si>
  <si>
    <t>NEI input</t>
  </si>
  <si>
    <t>TABLE 3.3-6    PETROLEUM  AND SOLVENT SPILLS 2011</t>
  </si>
  <si>
    <t>GASOLINE</t>
  </si>
  <si>
    <t>SPILLS</t>
  </si>
  <si>
    <t xml:space="preserve">       TABLE 3.3-4  MISCELLANEOUS SOLVENT VOC EMISSIONS 2011 (Cont'd)</t>
  </si>
  <si>
    <t>M.DVMT</t>
  </si>
  <si>
    <t>2008-2011 GF 0.99625</t>
  </si>
  <si>
    <t>TABLE 3.3-3   INDUSTRIAL SURFACE COATING VOC EMISSIONS 2011 (Cont'd)</t>
  </si>
  <si>
    <t>TABLE 3.3-3  INDUSTRIAL SURFACE COATING VOC EMISSIONS 2011 (Cont'd)</t>
  </si>
  <si>
    <t>lb TPY</t>
  </si>
  <si>
    <t>lb  TPY</t>
  </si>
  <si>
    <t>SIC 3357, 3612</t>
  </si>
  <si>
    <t>No Data - same as 2008</t>
  </si>
  <si>
    <t>MISCELLANEOUS</t>
  </si>
  <si>
    <t>EM.FAC</t>
  </si>
  <si>
    <t>201 LB/</t>
  </si>
  <si>
    <t>Employment and emission factor taken from EPA</t>
  </si>
  <si>
    <t>Emissions differ from EPA due to SSEIS point emissions</t>
  </si>
  <si>
    <t>Inv2011/Area//Sect 3.3-1 Solvents-Dry-Degr-2011 Aug.8,2011</t>
  </si>
  <si>
    <t xml:space="preserve">NON-INDUSTR </t>
  </si>
  <si>
    <t>AIM &amp; AUTO REFIN</t>
  </si>
  <si>
    <t xml:space="preserve">     TABLE 3.3-7   TOTAL SOLVENT EVAPORATION VOC EMISSIONS 2011</t>
  </si>
  <si>
    <t>(See section 3.3-1 in report for detailed calculation steps and assumptions )</t>
  </si>
  <si>
    <t>UN-CONTROL</t>
  </si>
  <si>
    <t>SOURCE</t>
  </si>
  <si>
    <t>to Counties</t>
  </si>
  <si>
    <t>Apportion</t>
  </si>
  <si>
    <t>UNCONTROL</t>
  </si>
  <si>
    <t>EMISSIONS</t>
  </si>
  <si>
    <t>2. CONSUMER/COMM SOLVENTS</t>
  </si>
  <si>
    <t>TABLE 3.3-5  EPA-ERTAC AGRICULTURAL PESTICIDE 2011 EMISSIONS</t>
  </si>
  <si>
    <t xml:space="preserve">Inv2011/Section 3.3 Misc Solvents Dec 2 2014 </t>
  </si>
  <si>
    <t>FIPS State and County Code</t>
  </si>
  <si>
    <t>FIPS State Code</t>
  </si>
  <si>
    <t>FIPS County Code</t>
  </si>
  <si>
    <t>County Name</t>
  </si>
  <si>
    <t>Harvested  Acres</t>
  </si>
  <si>
    <t>Throughput -Pesticides Applied</t>
  </si>
  <si>
    <t>Throughput Unit</t>
  </si>
  <si>
    <t>Pollutant Code</t>
  </si>
  <si>
    <t>Factor Numeric Value - LB VOC</t>
  </si>
  <si>
    <t>Factor Unit Denominator</t>
  </si>
  <si>
    <t>25001</t>
  </si>
  <si>
    <t>25</t>
  </si>
  <si>
    <t>001</t>
  </si>
  <si>
    <t>Barnstable</t>
  </si>
  <si>
    <t>LB Active Ingredient</t>
  </si>
  <si>
    <t>25003</t>
  </si>
  <si>
    <t>003</t>
  </si>
  <si>
    <t>Berkshire</t>
  </si>
  <si>
    <t>25005</t>
  </si>
  <si>
    <t>005</t>
  </si>
  <si>
    <t>Bristol</t>
  </si>
  <si>
    <t>25007</t>
  </si>
  <si>
    <t>007</t>
  </si>
  <si>
    <t>Dukes</t>
  </si>
  <si>
    <t>25009</t>
  </si>
  <si>
    <t>009</t>
  </si>
  <si>
    <t>Essex</t>
  </si>
  <si>
    <t>25011</t>
  </si>
  <si>
    <t>011</t>
  </si>
  <si>
    <t>Franklin</t>
  </si>
  <si>
    <t>25013</t>
  </si>
  <si>
    <t>013</t>
  </si>
  <si>
    <t>Hampden</t>
  </si>
  <si>
    <t>25015</t>
  </si>
  <si>
    <t>015</t>
  </si>
  <si>
    <t>Hampshire</t>
  </si>
  <si>
    <t>25017</t>
  </si>
  <si>
    <t>017</t>
  </si>
  <si>
    <t>Middlesex</t>
  </si>
  <si>
    <t>25019</t>
  </si>
  <si>
    <t>019</t>
  </si>
  <si>
    <t>Nantucket</t>
  </si>
  <si>
    <t>25021</t>
  </si>
  <si>
    <t>021</t>
  </si>
  <si>
    <t>Norfolk</t>
  </si>
  <si>
    <t>25023</t>
  </si>
  <si>
    <t>023</t>
  </si>
  <si>
    <t>Plymouth</t>
  </si>
  <si>
    <t>25025</t>
  </si>
  <si>
    <t>025</t>
  </si>
  <si>
    <t>Suffolk</t>
  </si>
  <si>
    <t>25027</t>
  </si>
  <si>
    <t>027</t>
  </si>
  <si>
    <t>Worcester</t>
  </si>
  <si>
    <t>EMA</t>
  </si>
  <si>
    <t>WMA</t>
  </si>
  <si>
    <t>Emission Numeric Value TPY</t>
  </si>
  <si>
    <t xml:space="preserve">Emission Numeric Value /214 days TPSD </t>
  </si>
  <si>
    <t>LBS</t>
  </si>
  <si>
    <t>ks/inv2011/Area/ Section 3.3-8 Other-Solvents Dec 2 2014 -pesticides</t>
  </si>
  <si>
    <t xml:space="preserve">ks/inv2011/Area/Section 3.3-1 Solvents-dry-degr-2011-Dec 2 2014 -pesticides </t>
  </si>
  <si>
    <t>3.3-15</t>
  </si>
  <si>
    <t>3.3-27</t>
  </si>
  <si>
    <t>ks/inv2011/Area/ Section 3.3-8 Other-Solvents Dec 4, 2014 -pesticides</t>
  </si>
  <si>
    <t>Inv2011/Area//Sect 3.3-1 Solvents-Dry-Degr-2011 may 15, 2015</t>
  </si>
  <si>
    <r>
      <t xml:space="preserve"> </t>
    </r>
    <r>
      <rPr>
        <b/>
        <sz val="12"/>
        <rFont val="Arial Narrow"/>
        <family val="2"/>
      </rPr>
      <t>TABLE 3.3-4  MISCELLANEOUS SOLVENT VOC EMISSIONS 2011</t>
    </r>
  </si>
  <si>
    <r>
      <t xml:space="preserve">ERTAC </t>
    </r>
    <r>
      <rPr>
        <sz val="8"/>
        <rFont val="Arial Narrow"/>
        <family val="2"/>
      </rPr>
      <t>NAICS: 331319,422,491,</t>
    </r>
  </si>
  <si>
    <r>
      <t xml:space="preserve">ERTAC </t>
    </r>
    <r>
      <rPr>
        <sz val="8"/>
        <rFont val="Arial Narrow"/>
        <family val="2"/>
      </rPr>
      <t>NAICS: 3369, 339</t>
    </r>
  </si>
  <si>
    <r>
      <t xml:space="preserve">ERTAC </t>
    </r>
    <r>
      <rPr>
        <sz val="8"/>
        <rFont val="Arial Narrow"/>
        <family val="2"/>
      </rPr>
      <t>NAICS: 322221,2,3,5,6</t>
    </r>
  </si>
  <si>
    <r>
      <t xml:space="preserve">    1. </t>
    </r>
    <r>
      <rPr>
        <b/>
        <u/>
        <sz val="8"/>
        <rFont val="Arial"/>
        <family val="2"/>
      </rPr>
      <t>SURFACE CLEANING (DEGREASING)</t>
    </r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</si>
</sst>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0.0%"/>
    <numFmt numFmtId="165" formatCode="0.000"/>
    <numFmt numFmtId="167" formatCode="0.0000"/>
    <numFmt numFmtId="169" formatCode="0.0"/>
    <numFmt numFmtId="179" formatCode="_(* #,##0.0_);_(* \(#,##0.0\);_(* &quot;-&quot;??_);_(@_)"/>
    <numFmt numFmtId="180" formatCode="_(* #,##0_);_(* \(#,##0\);_(* &quot;-&quot;??_);_(@_)"/>
    <numFmt numFmtId="181" formatCode="_(* #,##0.000_);_(* \(#,##0.000\);_(* &quot;-&quot;??_);_(@_)"/>
    <numFmt numFmtId="184" formatCode="_(* #,##0.0_);_(* \(#,##0.0\);_(* &quot;-&quot;?_);_(@_)"/>
    <numFmt numFmtId="187" formatCode="#,##0.0"/>
    <numFmt numFmtId="189" formatCode="General_)"/>
    <numFmt numFmtId="190" formatCode="0.00_)"/>
    <numFmt numFmtId="191" formatCode="0.0_)"/>
    <numFmt numFmtId="192" formatCode="0_)"/>
    <numFmt numFmtId="193" formatCode="0.00000_)"/>
    <numFmt numFmtId="194" formatCode="0.000_)"/>
  </numFmts>
  <fonts count="53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b/>
      <sz val="8"/>
      <color indexed="8"/>
      <name val="Arial Narrow"/>
      <family val="2"/>
    </font>
    <font>
      <u/>
      <sz val="9"/>
      <color indexed="8"/>
      <name val="Arial Narrow"/>
      <family val="2"/>
    </font>
    <font>
      <b/>
      <u/>
      <sz val="9"/>
      <color indexed="8"/>
      <name val="Arial Narrow"/>
      <family val="2"/>
    </font>
    <font>
      <b/>
      <sz val="9"/>
      <color indexed="10"/>
      <name val="Arial Narrow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b/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u/>
      <sz val="8"/>
      <name val="Arial Narrow"/>
      <family val="2"/>
    </font>
    <font>
      <u/>
      <sz val="8"/>
      <color rgb="FF000000"/>
      <name val="Arial Narrow"/>
      <family val="2"/>
    </font>
    <font>
      <b/>
      <sz val="8"/>
      <color theme="1"/>
      <name val="Arial Narrow"/>
      <family val="2"/>
    </font>
    <font>
      <sz val="8"/>
      <color indexed="10"/>
      <name val="Arial Narrow"/>
      <family val="2"/>
    </font>
    <font>
      <sz val="8"/>
      <color indexed="8"/>
      <name val="Arial Narrow"/>
      <family val="2"/>
    </font>
    <font>
      <b/>
      <sz val="12"/>
      <color indexed="10"/>
      <name val="Arial Narrow"/>
      <family val="2"/>
    </font>
    <font>
      <b/>
      <sz val="12"/>
      <color rgb="FFFF0000"/>
      <name val="Arial Narrow"/>
      <family val="2"/>
    </font>
    <font>
      <sz val="8"/>
      <color rgb="FFFF0000"/>
      <name val="Arial Narrow"/>
      <family val="2"/>
    </font>
    <font>
      <b/>
      <sz val="12"/>
      <color indexed="8"/>
      <name val="Arial Narrow"/>
      <family val="2"/>
    </font>
    <font>
      <i/>
      <sz val="8"/>
      <color indexed="8"/>
      <name val="Arial Narrow"/>
      <family val="2"/>
    </font>
    <font>
      <b/>
      <sz val="8"/>
      <color rgb="FFFF0000"/>
      <name val="Arial Narrow"/>
      <family val="2"/>
    </font>
    <font>
      <sz val="12"/>
      <color indexed="8"/>
      <name val="Arial Narrow"/>
      <family val="2"/>
    </font>
    <font>
      <b/>
      <sz val="10"/>
      <color indexed="8"/>
      <name val="Arial Narrow"/>
      <family val="2"/>
    </font>
    <font>
      <sz val="7"/>
      <color indexed="8"/>
      <name val="Arial Narrow"/>
      <family val="2"/>
    </font>
    <font>
      <u/>
      <sz val="7"/>
      <name val="Arial Narrow"/>
      <family val="2"/>
    </font>
    <font>
      <u/>
      <sz val="8"/>
      <color indexed="8"/>
      <name val="Arial Narrow"/>
      <family val="2"/>
    </font>
    <font>
      <b/>
      <u/>
      <sz val="8"/>
      <color indexed="8"/>
      <name val="Arial Narrow"/>
      <family val="2"/>
    </font>
    <font>
      <b/>
      <u/>
      <sz val="8"/>
      <name val="Arial Narrow"/>
      <family val="2"/>
    </font>
    <font>
      <u/>
      <sz val="7"/>
      <color indexed="8"/>
      <name val="Arial Narrow"/>
      <family val="2"/>
    </font>
    <font>
      <b/>
      <u/>
      <sz val="10"/>
      <name val="Arial Narrow"/>
      <family val="2"/>
    </font>
    <font>
      <b/>
      <u/>
      <sz val="10"/>
      <color indexed="8"/>
      <name val="Arial Narrow"/>
      <family val="2"/>
    </font>
    <font>
      <u/>
      <sz val="9"/>
      <name val="Arial Narrow"/>
      <family val="2"/>
    </font>
    <font>
      <sz val="10"/>
      <color indexed="8"/>
      <name val="Arial Narrow"/>
      <family val="2"/>
    </font>
    <font>
      <u/>
      <sz val="8"/>
      <color theme="10"/>
      <name val="Arial Narrow"/>
      <family val="2"/>
    </font>
    <font>
      <sz val="8"/>
      <color theme="7" tint="-0.249977111117893"/>
      <name val="Arial Narrow"/>
      <family val="2"/>
    </font>
    <font>
      <b/>
      <u/>
      <sz val="8"/>
      <name val="Arial"/>
      <family val="2"/>
    </font>
    <font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2" fillId="0" borderId="0"/>
    <xf numFmtId="9" fontId="1" fillId="0" borderId="0" applyFont="0" applyFill="0" applyBorder="0" applyAlignment="0" applyProtection="0"/>
  </cellStyleXfs>
  <cellXfs count="37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2" fontId="6" fillId="0" borderId="0" xfId="0" applyNumberFormat="1" applyFont="1"/>
    <xf numFmtId="179" fontId="6" fillId="0" borderId="0" xfId="1" applyNumberFormat="1" applyFont="1"/>
    <xf numFmtId="169" fontId="6" fillId="0" borderId="0" xfId="1" applyNumberFormat="1" applyFont="1"/>
    <xf numFmtId="165" fontId="6" fillId="0" borderId="0" xfId="0" applyNumberFormat="1" applyFont="1"/>
    <xf numFmtId="169" fontId="6" fillId="0" borderId="0" xfId="0" applyNumberFormat="1" applyFont="1"/>
    <xf numFmtId="179" fontId="6" fillId="0" borderId="0" xfId="1" applyNumberFormat="1" applyFont="1" applyAlignment="1">
      <alignment horizontal="right"/>
    </xf>
    <xf numFmtId="169" fontId="7" fillId="0" borderId="0" xfId="0" applyNumberFormat="1" applyFont="1"/>
    <xf numFmtId="2" fontId="7" fillId="0" borderId="0" xfId="0" applyNumberFormat="1" applyFont="1"/>
    <xf numFmtId="179" fontId="9" fillId="0" borderId="0" xfId="1" applyNumberFormat="1" applyFont="1"/>
    <xf numFmtId="43" fontId="9" fillId="0" borderId="0" xfId="1" applyNumberFormat="1" applyFont="1"/>
    <xf numFmtId="179" fontId="7" fillId="0" borderId="0" xfId="1" applyNumberFormat="1" applyFont="1"/>
    <xf numFmtId="169" fontId="7" fillId="0" borderId="0" xfId="1" applyNumberFormat="1" applyFont="1"/>
    <xf numFmtId="165" fontId="7" fillId="0" borderId="0" xfId="0" applyNumberFormat="1" applyFont="1"/>
    <xf numFmtId="179" fontId="10" fillId="0" borderId="0" xfId="1" applyNumberFormat="1" applyFont="1"/>
    <xf numFmtId="43" fontId="10" fillId="0" borderId="0" xfId="1" applyNumberFormat="1" applyFont="1"/>
    <xf numFmtId="2" fontId="9" fillId="0" borderId="0" xfId="0" applyNumberFormat="1" applyFont="1"/>
    <xf numFmtId="169" fontId="9" fillId="0" borderId="0" xfId="1" applyNumberFormat="1" applyFont="1"/>
    <xf numFmtId="165" fontId="9" fillId="0" borderId="0" xfId="0" applyNumberFormat="1" applyFont="1"/>
    <xf numFmtId="169" fontId="9" fillId="0" borderId="0" xfId="0" applyNumberFormat="1" applyFont="1"/>
    <xf numFmtId="2" fontId="10" fillId="0" borderId="0" xfId="0" applyNumberFormat="1" applyFont="1"/>
    <xf numFmtId="179" fontId="9" fillId="0" borderId="0" xfId="0" applyNumberFormat="1" applyFont="1"/>
    <xf numFmtId="179" fontId="14" fillId="0" borderId="0" xfId="0" applyNumberFormat="1" applyFont="1"/>
    <xf numFmtId="2" fontId="14" fillId="0" borderId="0" xfId="0" applyNumberFormat="1" applyFont="1"/>
    <xf numFmtId="184" fontId="9" fillId="0" borderId="0" xfId="0" applyNumberFormat="1" applyFont="1"/>
    <xf numFmtId="43" fontId="9" fillId="0" borderId="0" xfId="0" applyNumberFormat="1" applyFont="1"/>
    <xf numFmtId="0" fontId="6" fillId="0" borderId="0" xfId="0" applyFont="1" applyAlignment="1">
      <alignment horizontal="right"/>
    </xf>
    <xf numFmtId="169" fontId="15" fillId="0" borderId="0" xfId="0" applyNumberFormat="1" applyFont="1"/>
    <xf numFmtId="1" fontId="17" fillId="0" borderId="0" xfId="0" applyNumberFormat="1" applyFont="1"/>
    <xf numFmtId="169" fontId="17" fillId="0" borderId="0" xfId="0" applyNumberFormat="1" applyFont="1"/>
    <xf numFmtId="2" fontId="17" fillId="0" borderId="0" xfId="0" applyNumberFormat="1" applyFont="1"/>
    <xf numFmtId="189" fontId="18" fillId="0" borderId="0" xfId="0" applyNumberFormat="1" applyFont="1" applyAlignment="1" applyProtection="1">
      <alignment horizontal="left"/>
    </xf>
    <xf numFmtId="189" fontId="18" fillId="0" borderId="0" xfId="0" applyNumberFormat="1" applyFont="1"/>
    <xf numFmtId="189" fontId="19" fillId="0" borderId="0" xfId="0" applyNumberFormat="1" applyFont="1"/>
    <xf numFmtId="189" fontId="19" fillId="0" borderId="0" xfId="0" applyNumberFormat="1" applyFont="1" applyAlignment="1" applyProtection="1">
      <alignment horizontal="left"/>
    </xf>
    <xf numFmtId="189" fontId="20" fillId="0" borderId="0" xfId="0" applyNumberFormat="1" applyFont="1" applyAlignment="1" applyProtection="1">
      <alignment horizontal="left"/>
    </xf>
    <xf numFmtId="189" fontId="21" fillId="0" borderId="0" xfId="0" applyNumberFormat="1" applyFont="1" applyAlignment="1" applyProtection="1">
      <alignment horizontal="right"/>
    </xf>
    <xf numFmtId="189" fontId="18" fillId="0" borderId="0" xfId="0" applyNumberFormat="1" applyFont="1" applyAlignment="1" applyProtection="1">
      <alignment horizontal="right"/>
    </xf>
    <xf numFmtId="189" fontId="18" fillId="0" borderId="0" xfId="0" applyNumberFormat="1" applyFont="1" applyProtection="1"/>
    <xf numFmtId="189" fontId="21" fillId="0" borderId="0" xfId="0" applyNumberFormat="1" applyFont="1" applyAlignment="1">
      <alignment horizontal="right"/>
    </xf>
    <xf numFmtId="189" fontId="18" fillId="0" borderId="0" xfId="0" applyNumberFormat="1" applyFont="1" applyAlignment="1">
      <alignment horizontal="right"/>
    </xf>
    <xf numFmtId="191" fontId="18" fillId="0" borderId="0" xfId="0" applyNumberFormat="1" applyFont="1" applyProtection="1"/>
    <xf numFmtId="169" fontId="18" fillId="0" borderId="0" xfId="0" applyNumberFormat="1" applyFont="1" applyProtection="1"/>
    <xf numFmtId="191" fontId="21" fillId="0" borderId="0" xfId="0" applyNumberFormat="1" applyFont="1" applyProtection="1"/>
    <xf numFmtId="190" fontId="21" fillId="0" borderId="0" xfId="0" applyNumberFormat="1" applyFont="1" applyProtection="1"/>
    <xf numFmtId="194" fontId="18" fillId="0" borderId="0" xfId="0" applyNumberFormat="1" applyFont="1" applyProtection="1"/>
    <xf numFmtId="169" fontId="18" fillId="0" borderId="0" xfId="0" applyNumberFormat="1" applyFont="1"/>
    <xf numFmtId="189" fontId="21" fillId="0" borderId="0" xfId="0" applyNumberFormat="1" applyFont="1" applyAlignment="1" applyProtection="1">
      <alignment horizontal="left"/>
    </xf>
    <xf numFmtId="189" fontId="21" fillId="0" borderId="0" xfId="0" applyNumberFormat="1" applyFont="1" applyProtection="1"/>
    <xf numFmtId="169" fontId="21" fillId="0" borderId="0" xfId="0" applyNumberFormat="1" applyFont="1" applyProtection="1"/>
    <xf numFmtId="194" fontId="21" fillId="0" borderId="0" xfId="0" applyNumberFormat="1" applyFont="1" applyProtection="1"/>
    <xf numFmtId="189" fontId="21" fillId="0" borderId="0" xfId="0" applyNumberFormat="1" applyFont="1"/>
    <xf numFmtId="190" fontId="18" fillId="0" borderId="0" xfId="0" applyNumberFormat="1" applyFont="1" applyProtection="1"/>
    <xf numFmtId="1" fontId="21" fillId="0" borderId="0" xfId="0" applyNumberFormat="1" applyFont="1"/>
    <xf numFmtId="169" fontId="21" fillId="0" borderId="0" xfId="0" applyNumberFormat="1" applyFont="1"/>
    <xf numFmtId="191" fontId="21" fillId="0" borderId="0" xfId="0" applyNumberFormat="1" applyFont="1"/>
    <xf numFmtId="2" fontId="21" fillId="0" borderId="0" xfId="0" applyNumberFormat="1" applyFont="1"/>
    <xf numFmtId="190" fontId="7" fillId="0" borderId="0" xfId="0" applyNumberFormat="1" applyFont="1" applyProtection="1"/>
    <xf numFmtId="189" fontId="22" fillId="0" borderId="0" xfId="0" applyNumberFormat="1" applyFont="1"/>
    <xf numFmtId="2" fontId="19" fillId="0" borderId="0" xfId="0" applyNumberFormat="1" applyFont="1"/>
    <xf numFmtId="0" fontId="24" fillId="0" borderId="0" xfId="3" applyFont="1"/>
    <xf numFmtId="0" fontId="18" fillId="0" borderId="0" xfId="0" applyFont="1"/>
    <xf numFmtId="0" fontId="21" fillId="0" borderId="0" xfId="3" applyFont="1"/>
    <xf numFmtId="0" fontId="20" fillId="0" borderId="0" xfId="3" applyFont="1"/>
    <xf numFmtId="0" fontId="21" fillId="3" borderId="1" xfId="4" applyFont="1" applyFill="1" applyBorder="1" applyAlignment="1">
      <alignment horizontal="center" vertical="center" wrapText="1"/>
    </xf>
    <xf numFmtId="3" fontId="21" fillId="3" borderId="1" xfId="4" applyNumberFormat="1" applyFont="1" applyFill="1" applyBorder="1" applyAlignment="1">
      <alignment horizontal="center" vertical="center" wrapText="1"/>
    </xf>
    <xf numFmtId="3" fontId="21" fillId="3" borderId="2" xfId="4" applyNumberFormat="1" applyFont="1" applyFill="1" applyBorder="1" applyAlignment="1">
      <alignment horizontal="center" vertical="center" wrapText="1"/>
    </xf>
    <xf numFmtId="0" fontId="18" fillId="0" borderId="0" xfId="3" applyFont="1"/>
    <xf numFmtId="3" fontId="25" fillId="0" borderId="3" xfId="3" applyNumberFormat="1" applyFont="1" applyFill="1" applyBorder="1" applyAlignment="1" applyProtection="1">
      <alignment horizontal="right" vertical="center" wrapText="1"/>
    </xf>
    <xf numFmtId="3" fontId="18" fillId="0" borderId="0" xfId="3" applyNumberFormat="1" applyFont="1"/>
    <xf numFmtId="0" fontId="18" fillId="0" borderId="0" xfId="3" applyFont="1" applyAlignment="1">
      <alignment horizontal="center"/>
    </xf>
    <xf numFmtId="187" fontId="18" fillId="0" borderId="0" xfId="3" applyNumberFormat="1" applyFont="1"/>
    <xf numFmtId="2" fontId="18" fillId="0" borderId="0" xfId="0" applyNumberFormat="1" applyFont="1"/>
    <xf numFmtId="0" fontId="26" fillId="0" borderId="0" xfId="3" applyFont="1"/>
    <xf numFmtId="3" fontId="27" fillId="0" borderId="3" xfId="3" applyNumberFormat="1" applyFont="1" applyFill="1" applyBorder="1" applyAlignment="1" applyProtection="1">
      <alignment horizontal="right" vertical="center" wrapText="1"/>
    </xf>
    <xf numFmtId="3" fontId="26" fillId="0" borderId="0" xfId="3" applyNumberFormat="1" applyFont="1"/>
    <xf numFmtId="0" fontId="26" fillId="0" borderId="0" xfId="3" applyFont="1" applyAlignment="1">
      <alignment horizontal="center"/>
    </xf>
    <xf numFmtId="2" fontId="26" fillId="0" borderId="0" xfId="0" applyNumberFormat="1" applyFont="1"/>
    <xf numFmtId="0" fontId="26" fillId="0" borderId="0" xfId="0" applyFont="1"/>
    <xf numFmtId="0" fontId="28" fillId="0" borderId="0" xfId="3" applyFont="1"/>
    <xf numFmtId="3" fontId="21" fillId="0" borderId="0" xfId="3" applyNumberFormat="1" applyFont="1"/>
    <xf numFmtId="187" fontId="21" fillId="0" borderId="0" xfId="3" applyNumberFormat="1" applyFont="1"/>
    <xf numFmtId="0" fontId="21" fillId="0" borderId="0" xfId="0" applyFont="1"/>
    <xf numFmtId="187" fontId="18" fillId="0" borderId="0" xfId="0" applyNumberFormat="1" applyFont="1"/>
    <xf numFmtId="4" fontId="18" fillId="0" borderId="0" xfId="0" applyNumberFormat="1" applyFont="1"/>
    <xf numFmtId="0" fontId="18" fillId="0" borderId="0" xfId="3" applyFont="1" applyAlignment="1">
      <alignment horizontal="left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0" fillId="0" borderId="0" xfId="0" applyFont="1" applyAlignment="1">
      <alignment horizontal="right"/>
    </xf>
    <xf numFmtId="0" fontId="30" fillId="0" borderId="0" xfId="0" applyFont="1" applyFill="1"/>
    <xf numFmtId="0" fontId="23" fillId="0" borderId="0" xfId="0" applyFont="1"/>
    <xf numFmtId="0" fontId="32" fillId="0" borderId="0" xfId="0" applyFont="1"/>
    <xf numFmtId="0" fontId="33" fillId="0" borderId="0" xfId="0" applyFont="1"/>
    <xf numFmtId="0" fontId="18" fillId="0" borderId="0" xfId="0" applyFont="1" applyFill="1"/>
    <xf numFmtId="0" fontId="34" fillId="0" borderId="0" xfId="0" applyFont="1"/>
    <xf numFmtId="0" fontId="35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30" fillId="2" borderId="0" xfId="0" applyFont="1" applyFill="1" applyAlignment="1">
      <alignment horizontal="right"/>
    </xf>
    <xf numFmtId="0" fontId="21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0" fillId="0" borderId="0" xfId="0" applyFont="1" applyFill="1" applyAlignment="1">
      <alignment horizontal="right"/>
    </xf>
    <xf numFmtId="0" fontId="18" fillId="0" borderId="0" xfId="0" applyFont="1" applyAlignment="1">
      <alignment horizontal="right"/>
    </xf>
    <xf numFmtId="0" fontId="18" fillId="2" borderId="0" xfId="0" applyFont="1" applyFill="1" applyAlignment="1">
      <alignment horizontal="right"/>
    </xf>
    <xf numFmtId="0" fontId="21" fillId="0" borderId="0" xfId="0" applyFont="1" applyAlignment="1">
      <alignment horizontal="right"/>
    </xf>
    <xf numFmtId="0" fontId="37" fillId="0" borderId="0" xfId="0" applyFont="1" applyAlignment="1">
      <alignment horizontal="left"/>
    </xf>
    <xf numFmtId="0" fontId="30" fillId="2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11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19" fillId="0" borderId="0" xfId="0" applyFont="1" applyAlignment="1">
      <alignment horizontal="right"/>
    </xf>
    <xf numFmtId="0" fontId="30" fillId="0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38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39" fillId="0" borderId="0" xfId="0" applyFont="1" applyAlignment="1">
      <alignment horizontal="left"/>
    </xf>
    <xf numFmtId="0" fontId="39" fillId="2" borderId="0" xfId="0" applyFont="1" applyFill="1" applyAlignment="1">
      <alignment horizontal="left"/>
    </xf>
    <xf numFmtId="0" fontId="39" fillId="0" borderId="0" xfId="0" applyFont="1" applyFill="1" applyAlignment="1">
      <alignment horizontal="left"/>
    </xf>
    <xf numFmtId="3" fontId="30" fillId="0" borderId="0" xfId="0" applyNumberFormat="1" applyFont="1" applyAlignment="1">
      <alignment horizontal="left"/>
    </xf>
    <xf numFmtId="0" fontId="26" fillId="0" borderId="0" xfId="0" applyFont="1" applyAlignment="1">
      <alignment horizontal="left"/>
    </xf>
    <xf numFmtId="0" fontId="40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41" fillId="2" borderId="0" xfId="0" applyFont="1" applyFill="1" applyAlignment="1">
      <alignment horizontal="left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left"/>
    </xf>
    <xf numFmtId="169" fontId="30" fillId="0" borderId="0" xfId="0" applyNumberFormat="1" applyFont="1" applyAlignment="1">
      <alignment horizontal="left"/>
    </xf>
    <xf numFmtId="0" fontId="41" fillId="0" borderId="0" xfId="0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45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165" fontId="30" fillId="0" borderId="0" xfId="0" applyNumberFormat="1" applyFont="1"/>
    <xf numFmtId="169" fontId="30" fillId="0" borderId="0" xfId="0" applyNumberFormat="1" applyFont="1" applyAlignment="1">
      <alignment horizontal="right"/>
    </xf>
    <xf numFmtId="165" fontId="30" fillId="0" borderId="0" xfId="0" applyNumberFormat="1" applyFont="1" applyAlignment="1">
      <alignment horizontal="right"/>
    </xf>
    <xf numFmtId="2" fontId="30" fillId="0" borderId="0" xfId="0" applyNumberFormat="1" applyFont="1" applyAlignment="1">
      <alignment horizontal="right"/>
    </xf>
    <xf numFmtId="165" fontId="18" fillId="0" borderId="0" xfId="1" applyNumberFormat="1" applyFont="1" applyAlignment="1">
      <alignment horizontal="right"/>
    </xf>
    <xf numFmtId="169" fontId="11" fillId="0" borderId="0" xfId="0" applyNumberFormat="1" applyFont="1" applyAlignment="1">
      <alignment horizontal="right"/>
    </xf>
    <xf numFmtId="2" fontId="11" fillId="0" borderId="0" xfId="0" applyNumberFormat="1" applyFont="1"/>
    <xf numFmtId="165" fontId="30" fillId="2" borderId="0" xfId="0" applyNumberFormat="1" applyFont="1" applyFill="1"/>
    <xf numFmtId="3" fontId="7" fillId="0" borderId="0" xfId="3" applyNumberFormat="1" applyFont="1"/>
    <xf numFmtId="2" fontId="30" fillId="2" borderId="0" xfId="0" applyNumberFormat="1" applyFont="1" applyFill="1"/>
    <xf numFmtId="1" fontId="30" fillId="0" borderId="0" xfId="0" applyNumberFormat="1" applyFont="1"/>
    <xf numFmtId="2" fontId="30" fillId="0" borderId="0" xfId="0" applyNumberFormat="1" applyFont="1"/>
    <xf numFmtId="169" fontId="30" fillId="0" borderId="0" xfId="0" applyNumberFormat="1" applyFont="1"/>
    <xf numFmtId="169" fontId="11" fillId="0" borderId="0" xfId="0" applyNumberFormat="1" applyFont="1"/>
    <xf numFmtId="1" fontId="18" fillId="0" borderId="0" xfId="6" applyNumberFormat="1" applyFont="1"/>
    <xf numFmtId="2" fontId="18" fillId="0" borderId="0" xfId="6" applyNumberFormat="1" applyFont="1"/>
    <xf numFmtId="1" fontId="30" fillId="2" borderId="0" xfId="0" applyNumberFormat="1" applyFont="1" applyFill="1"/>
    <xf numFmtId="2" fontId="30" fillId="0" borderId="0" xfId="6" applyNumberFormat="1" applyFont="1"/>
    <xf numFmtId="169" fontId="30" fillId="0" borderId="0" xfId="6" applyNumberFormat="1" applyFont="1"/>
    <xf numFmtId="165" fontId="11" fillId="0" borderId="0" xfId="0" applyNumberFormat="1" applyFont="1"/>
    <xf numFmtId="1" fontId="18" fillId="0" borderId="0" xfId="0" applyNumberFormat="1" applyFont="1"/>
    <xf numFmtId="165" fontId="18" fillId="0" borderId="0" xfId="0" applyNumberFormat="1" applyFont="1"/>
    <xf numFmtId="165" fontId="21" fillId="0" borderId="0" xfId="0" applyNumberFormat="1" applyFont="1"/>
    <xf numFmtId="165" fontId="18" fillId="2" borderId="0" xfId="0" applyNumberFormat="1" applyFont="1" applyFill="1"/>
    <xf numFmtId="169" fontId="19" fillId="0" borderId="0" xfId="0" applyNumberFormat="1" applyFont="1"/>
    <xf numFmtId="2" fontId="38" fillId="0" borderId="0" xfId="0" applyNumberFormat="1" applyFont="1"/>
    <xf numFmtId="3" fontId="47" fillId="0" borderId="0" xfId="3" applyNumberFormat="1" applyFont="1"/>
    <xf numFmtId="3" fontId="10" fillId="0" borderId="0" xfId="3" applyNumberFormat="1" applyFont="1"/>
    <xf numFmtId="164" fontId="18" fillId="0" borderId="0" xfId="6" applyNumberFormat="1" applyFont="1"/>
    <xf numFmtId="165" fontId="11" fillId="0" borderId="0" xfId="0" applyNumberFormat="1" applyFont="1" applyAlignment="1">
      <alignment horizontal="right"/>
    </xf>
    <xf numFmtId="165" fontId="21" fillId="0" borderId="0" xfId="1" applyNumberFormat="1" applyFont="1" applyAlignment="1">
      <alignment horizontal="right"/>
    </xf>
    <xf numFmtId="2" fontId="21" fillId="0" borderId="0" xfId="1" applyNumberFormat="1" applyFont="1"/>
    <xf numFmtId="2" fontId="11" fillId="2" borderId="0" xfId="0" applyNumberFormat="1" applyFont="1" applyFill="1"/>
    <xf numFmtId="169" fontId="10" fillId="0" borderId="0" xfId="0" applyNumberFormat="1" applyFont="1"/>
    <xf numFmtId="1" fontId="11" fillId="2" borderId="0" xfId="0" applyNumberFormat="1" applyFont="1" applyFill="1"/>
    <xf numFmtId="1" fontId="11" fillId="0" borderId="0" xfId="0" applyNumberFormat="1" applyFont="1"/>
    <xf numFmtId="2" fontId="11" fillId="0" borderId="0" xfId="6" applyNumberFormat="1" applyFont="1"/>
    <xf numFmtId="1" fontId="11" fillId="0" borderId="0" xfId="6" applyNumberFormat="1" applyFont="1"/>
    <xf numFmtId="165" fontId="11" fillId="2" borderId="0" xfId="0" applyNumberFormat="1" applyFont="1" applyFill="1"/>
    <xf numFmtId="165" fontId="21" fillId="2" borderId="0" xfId="0" applyNumberFormat="1" applyFont="1" applyFill="1"/>
    <xf numFmtId="0" fontId="36" fillId="0" borderId="0" xfId="0" applyFont="1"/>
    <xf numFmtId="0" fontId="11" fillId="2" borderId="0" xfId="0" applyFont="1" applyFill="1"/>
    <xf numFmtId="169" fontId="36" fillId="0" borderId="0" xfId="0" applyNumberFormat="1" applyFont="1"/>
    <xf numFmtId="169" fontId="11" fillId="2" borderId="0" xfId="0" applyNumberFormat="1" applyFont="1" applyFill="1"/>
    <xf numFmtId="167" fontId="30" fillId="0" borderId="0" xfId="0" applyNumberFormat="1" applyFont="1"/>
    <xf numFmtId="0" fontId="48" fillId="0" borderId="0" xfId="0" applyFont="1"/>
    <xf numFmtId="189" fontId="49" fillId="0" borderId="0" xfId="2" applyNumberFormat="1" applyFont="1" applyAlignment="1" applyProtection="1"/>
    <xf numFmtId="169" fontId="50" fillId="0" borderId="0" xfId="0" applyNumberFormat="1" applyFont="1"/>
    <xf numFmtId="189" fontId="21" fillId="0" borderId="0" xfId="0" applyNumberFormat="1" applyFont="1" applyFill="1"/>
    <xf numFmtId="189" fontId="21" fillId="5" borderId="0" xfId="0" applyNumberFormat="1" applyFont="1" applyFill="1"/>
    <xf numFmtId="189" fontId="21" fillId="0" borderId="0" xfId="0" applyNumberFormat="1" applyFont="1" applyAlignment="1" applyProtection="1">
      <alignment horizontal="center"/>
    </xf>
    <xf numFmtId="189" fontId="18" fillId="0" borderId="0" xfId="0" applyNumberFormat="1" applyFont="1" applyAlignment="1" applyProtection="1">
      <alignment horizontal="center"/>
    </xf>
    <xf numFmtId="189" fontId="18" fillId="5" borderId="0" xfId="0" applyNumberFormat="1" applyFont="1" applyFill="1"/>
    <xf numFmtId="189" fontId="18" fillId="0" borderId="0" xfId="0" applyNumberFormat="1" applyFont="1" applyAlignment="1">
      <alignment horizontal="left"/>
    </xf>
    <xf numFmtId="189" fontId="21" fillId="5" borderId="0" xfId="0" applyNumberFormat="1" applyFont="1" applyFill="1" applyAlignment="1">
      <alignment horizontal="right"/>
    </xf>
    <xf numFmtId="189" fontId="21" fillId="5" borderId="0" xfId="0" applyNumberFormat="1" applyFont="1" applyFill="1" applyAlignment="1" applyProtection="1">
      <alignment horizontal="left"/>
    </xf>
    <xf numFmtId="189" fontId="21" fillId="5" borderId="0" xfId="0" applyNumberFormat="1" applyFont="1" applyFill="1" applyAlignment="1" applyProtection="1">
      <alignment horizontal="right"/>
    </xf>
    <xf numFmtId="189" fontId="18" fillId="5" borderId="0" xfId="0" applyNumberFormat="1" applyFont="1" applyFill="1" applyAlignment="1">
      <alignment horizontal="right"/>
    </xf>
    <xf numFmtId="189" fontId="18" fillId="5" borderId="0" xfId="0" applyNumberFormat="1" applyFont="1" applyFill="1" applyAlignment="1" applyProtection="1">
      <alignment horizontal="left"/>
    </xf>
    <xf numFmtId="180" fontId="18" fillId="0" borderId="0" xfId="1" applyNumberFormat="1" applyFont="1" applyAlignment="1" applyProtection="1">
      <alignment horizontal="right"/>
    </xf>
    <xf numFmtId="1" fontId="18" fillId="0" borderId="0" xfId="0" applyNumberFormat="1" applyFont="1" applyAlignment="1" applyProtection="1">
      <alignment horizontal="right"/>
    </xf>
    <xf numFmtId="164" fontId="18" fillId="0" borderId="0" xfId="6" applyNumberFormat="1" applyFont="1" applyAlignment="1" applyProtection="1">
      <alignment horizontal="right"/>
    </xf>
    <xf numFmtId="0" fontId="18" fillId="0" borderId="0" xfId="1" applyNumberFormat="1" applyFont="1"/>
    <xf numFmtId="164" fontId="18" fillId="0" borderId="0" xfId="6" applyNumberFormat="1" applyFont="1" applyProtection="1"/>
    <xf numFmtId="187" fontId="18" fillId="0" borderId="0" xfId="5" applyNumberFormat="1" applyFont="1"/>
    <xf numFmtId="4" fontId="18" fillId="0" borderId="0" xfId="5" applyNumberFormat="1" applyFont="1"/>
    <xf numFmtId="190" fontId="21" fillId="0" borderId="0" xfId="0" applyNumberFormat="1" applyFont="1"/>
    <xf numFmtId="190" fontId="21" fillId="5" borderId="0" xfId="0" applyNumberFormat="1" applyFont="1" applyFill="1"/>
    <xf numFmtId="192" fontId="18" fillId="0" borderId="0" xfId="0" applyNumberFormat="1" applyFont="1"/>
    <xf numFmtId="190" fontId="18" fillId="0" borderId="0" xfId="0" applyNumberFormat="1" applyFont="1"/>
    <xf numFmtId="191" fontId="18" fillId="0" borderId="0" xfId="0" applyNumberFormat="1" applyFont="1"/>
    <xf numFmtId="2" fontId="21" fillId="5" borderId="0" xfId="0" applyNumberFormat="1" applyFont="1" applyFill="1"/>
    <xf numFmtId="190" fontId="21" fillId="5" borderId="0" xfId="0" applyNumberFormat="1" applyFont="1" applyFill="1" applyProtection="1"/>
    <xf numFmtId="1" fontId="18" fillId="0" borderId="0" xfId="0" applyNumberFormat="1" applyFont="1" applyProtection="1"/>
    <xf numFmtId="169" fontId="18" fillId="0" borderId="0" xfId="0" applyNumberFormat="1" applyFont="1" applyAlignment="1" applyProtection="1">
      <alignment horizontal="right"/>
    </xf>
    <xf numFmtId="2" fontId="18" fillId="0" borderId="0" xfId="0" applyNumberFormat="1" applyFont="1" applyProtection="1"/>
    <xf numFmtId="192" fontId="18" fillId="0" borderId="0" xfId="0" applyNumberFormat="1" applyFont="1" applyProtection="1"/>
    <xf numFmtId="179" fontId="21" fillId="0" borderId="0" xfId="1" applyNumberFormat="1" applyFont="1" applyProtection="1"/>
    <xf numFmtId="43" fontId="21" fillId="0" borderId="0" xfId="1" applyNumberFormat="1" applyFont="1" applyProtection="1"/>
    <xf numFmtId="43" fontId="21" fillId="0" borderId="0" xfId="0" applyNumberFormat="1" applyFont="1" applyProtection="1"/>
    <xf numFmtId="192" fontId="21" fillId="0" borderId="0" xfId="0" applyNumberFormat="1" applyFont="1" applyProtection="1"/>
    <xf numFmtId="179" fontId="21" fillId="0" borderId="0" xfId="1" applyNumberFormat="1" applyFont="1"/>
    <xf numFmtId="43" fontId="21" fillId="0" borderId="0" xfId="1" applyFont="1"/>
    <xf numFmtId="43" fontId="21" fillId="0" borderId="0" xfId="1" applyFont="1" applyProtection="1"/>
    <xf numFmtId="187" fontId="18" fillId="0" borderId="0" xfId="0" applyNumberFormat="1" applyFont="1" applyAlignment="1" applyProtection="1">
      <alignment horizontal="right"/>
    </xf>
    <xf numFmtId="4" fontId="18" fillId="0" borderId="0" xfId="0" applyNumberFormat="1" applyFont="1" applyAlignment="1" applyProtection="1">
      <alignment horizontal="right"/>
    </xf>
    <xf numFmtId="190" fontId="21" fillId="0" borderId="0" xfId="0" applyNumberFormat="1" applyFont="1" applyAlignment="1" applyProtection="1">
      <alignment horizontal="right"/>
    </xf>
    <xf numFmtId="190" fontId="21" fillId="5" borderId="0" xfId="0" applyNumberFormat="1" applyFont="1" applyFill="1" applyAlignment="1" applyProtection="1">
      <alignment horizontal="right"/>
    </xf>
    <xf numFmtId="192" fontId="18" fillId="0" borderId="0" xfId="0" applyNumberFormat="1" applyFont="1" applyAlignment="1" applyProtection="1">
      <alignment horizontal="right"/>
    </xf>
    <xf numFmtId="190" fontId="18" fillId="0" borderId="0" xfId="0" applyNumberFormat="1" applyFont="1" applyAlignment="1" applyProtection="1">
      <alignment horizontal="right"/>
    </xf>
    <xf numFmtId="190" fontId="18" fillId="5" borderId="0" xfId="0" applyNumberFormat="1" applyFont="1" applyFill="1" applyAlignment="1" applyProtection="1">
      <alignment horizontal="right"/>
    </xf>
    <xf numFmtId="191" fontId="18" fillId="0" borderId="0" xfId="0" applyNumberFormat="1" applyFont="1" applyAlignment="1" applyProtection="1">
      <alignment horizontal="right"/>
    </xf>
    <xf numFmtId="191" fontId="21" fillId="0" borderId="0" xfId="0" applyNumberFormat="1" applyFont="1" applyAlignment="1" applyProtection="1">
      <alignment horizontal="right"/>
    </xf>
    <xf numFmtId="192" fontId="21" fillId="0" borderId="0" xfId="0" applyNumberFormat="1" applyFont="1" applyAlignment="1" applyProtection="1">
      <alignment horizontal="right"/>
    </xf>
    <xf numFmtId="192" fontId="21" fillId="5" borderId="0" xfId="0" applyNumberFormat="1" applyFont="1" applyFill="1" applyAlignment="1" applyProtection="1">
      <alignment horizontal="right"/>
    </xf>
    <xf numFmtId="169" fontId="18" fillId="0" borderId="0" xfId="0" applyNumberFormat="1" applyFont="1" applyAlignment="1" applyProtection="1">
      <alignment horizontal="left"/>
    </xf>
    <xf numFmtId="169" fontId="21" fillId="0" borderId="0" xfId="0" applyNumberFormat="1" applyFont="1" applyAlignment="1" applyProtection="1">
      <alignment horizontal="left"/>
    </xf>
    <xf numFmtId="169" fontId="21" fillId="0" borderId="0" xfId="0" applyNumberFormat="1" applyFont="1" applyAlignment="1" applyProtection="1">
      <alignment horizontal="right"/>
    </xf>
    <xf numFmtId="1" fontId="21" fillId="0" borderId="0" xfId="0" applyNumberFormat="1" applyFont="1" applyAlignment="1" applyProtection="1">
      <alignment horizontal="right"/>
    </xf>
    <xf numFmtId="2" fontId="18" fillId="0" borderId="0" xfId="0" applyNumberFormat="1" applyFont="1" applyAlignment="1" applyProtection="1">
      <alignment horizontal="right"/>
    </xf>
    <xf numFmtId="189" fontId="18" fillId="5" borderId="0" xfId="0" applyNumberFormat="1" applyFont="1" applyFill="1" applyAlignment="1" applyProtection="1">
      <alignment horizontal="right"/>
    </xf>
    <xf numFmtId="191" fontId="21" fillId="5" borderId="0" xfId="0" applyNumberFormat="1" applyFont="1" applyFill="1" applyAlignment="1" applyProtection="1">
      <alignment horizontal="right"/>
    </xf>
    <xf numFmtId="194" fontId="21" fillId="0" borderId="0" xfId="0" applyNumberFormat="1" applyFont="1" applyAlignment="1" applyProtection="1">
      <alignment horizontal="right"/>
    </xf>
    <xf numFmtId="43" fontId="18" fillId="0" borderId="0" xfId="0" applyNumberFormat="1" applyFont="1" applyAlignment="1" applyProtection="1">
      <alignment horizontal="right"/>
    </xf>
    <xf numFmtId="43" fontId="21" fillId="0" borderId="0" xfId="0" applyNumberFormat="1" applyFont="1" applyAlignment="1" applyProtection="1">
      <alignment horizontal="right"/>
    </xf>
    <xf numFmtId="179" fontId="18" fillId="0" borderId="0" xfId="1" applyNumberFormat="1" applyFont="1" applyAlignment="1" applyProtection="1">
      <alignment horizontal="right"/>
    </xf>
    <xf numFmtId="43" fontId="18" fillId="0" borderId="0" xfId="1" applyFont="1" applyAlignment="1" applyProtection="1">
      <alignment horizontal="right"/>
    </xf>
    <xf numFmtId="179" fontId="21" fillId="0" borderId="0" xfId="1" applyNumberFormat="1" applyFont="1" applyAlignment="1" applyProtection="1">
      <alignment horizontal="right"/>
    </xf>
    <xf numFmtId="43" fontId="21" fillId="0" borderId="0" xfId="1" applyFont="1" applyAlignment="1" applyProtection="1">
      <alignment horizontal="right"/>
    </xf>
    <xf numFmtId="187" fontId="18" fillId="0" borderId="0" xfId="0" applyNumberFormat="1" applyFont="1" applyProtection="1"/>
    <xf numFmtId="2" fontId="21" fillId="0" borderId="0" xfId="0" applyNumberFormat="1" applyFont="1" applyProtection="1"/>
    <xf numFmtId="2" fontId="21" fillId="5" borderId="0" xfId="0" applyNumberFormat="1" applyFont="1" applyFill="1" applyProtection="1"/>
    <xf numFmtId="192" fontId="21" fillId="0" borderId="0" xfId="0" applyNumberFormat="1" applyFont="1"/>
    <xf numFmtId="192" fontId="21" fillId="5" borderId="0" xfId="0" applyNumberFormat="1" applyFont="1" applyFill="1"/>
    <xf numFmtId="193" fontId="18" fillId="0" borderId="0" xfId="0" applyNumberFormat="1" applyFont="1"/>
    <xf numFmtId="192" fontId="21" fillId="5" borderId="0" xfId="0" applyNumberFormat="1" applyFont="1" applyFill="1" applyProtection="1"/>
    <xf numFmtId="192" fontId="18" fillId="0" borderId="0" xfId="0" applyNumberFormat="1" applyFont="1" applyAlignment="1">
      <alignment horizontal="right"/>
    </xf>
    <xf numFmtId="192" fontId="18" fillId="5" borderId="0" xfId="0" applyNumberFormat="1" applyFont="1" applyFill="1"/>
    <xf numFmtId="192" fontId="21" fillId="0" borderId="0" xfId="0" applyNumberFormat="1" applyFont="1" applyFill="1" applyProtection="1"/>
    <xf numFmtId="43" fontId="18" fillId="0" borderId="0" xfId="1" applyFont="1"/>
    <xf numFmtId="43" fontId="18" fillId="0" borderId="0" xfId="1" applyFont="1" applyProtection="1"/>
    <xf numFmtId="169" fontId="21" fillId="5" borderId="0" xfId="0" applyNumberFormat="1" applyFont="1" applyFill="1"/>
    <xf numFmtId="194" fontId="21" fillId="0" borderId="0" xfId="0" applyNumberFormat="1" applyFont="1"/>
    <xf numFmtId="43" fontId="21" fillId="0" borderId="0" xfId="0" applyNumberFormat="1" applyFont="1"/>
    <xf numFmtId="194" fontId="18" fillId="0" borderId="0" xfId="0" applyNumberFormat="1" applyFont="1" applyAlignment="1" applyProtection="1">
      <alignment horizontal="right"/>
    </xf>
    <xf numFmtId="189" fontId="18" fillId="0" borderId="0" xfId="0" applyNumberFormat="1" applyFont="1" applyAlignment="1">
      <alignment horizontal="center"/>
    </xf>
    <xf numFmtId="0" fontId="18" fillId="4" borderId="0" xfId="0" applyFont="1" applyFill="1"/>
    <xf numFmtId="0" fontId="21" fillId="4" borderId="0" xfId="0" applyFont="1" applyFill="1"/>
    <xf numFmtId="189" fontId="21" fillId="4" borderId="0" xfId="0" applyNumberFormat="1" applyFont="1" applyFill="1" applyAlignment="1" applyProtection="1">
      <alignment horizontal="left"/>
    </xf>
    <xf numFmtId="0" fontId="18" fillId="5" borderId="0" xfId="0" applyFont="1" applyFill="1"/>
    <xf numFmtId="0" fontId="21" fillId="5" borderId="0" xfId="0" applyFont="1" applyFill="1" applyAlignment="1">
      <alignment horizontal="right"/>
    </xf>
    <xf numFmtId="0" fontId="21" fillId="4" borderId="0" xfId="0" applyFont="1" applyFill="1" applyAlignment="1">
      <alignment horizontal="right"/>
    </xf>
    <xf numFmtId="0" fontId="21" fillId="0" borderId="0" xfId="0" applyFont="1" applyAlignment="1"/>
    <xf numFmtId="0" fontId="21" fillId="4" borderId="0" xfId="0" applyFont="1" applyFill="1" applyAlignment="1"/>
    <xf numFmtId="0" fontId="43" fillId="4" borderId="0" xfId="0" applyFont="1" applyFill="1" applyAlignment="1">
      <alignment horizontal="right"/>
    </xf>
    <xf numFmtId="0" fontId="43" fillId="0" borderId="0" xfId="0" applyFont="1"/>
    <xf numFmtId="189" fontId="43" fillId="0" borderId="0" xfId="0" applyNumberFormat="1" applyFont="1" applyAlignment="1" applyProtection="1">
      <alignment horizontal="right"/>
    </xf>
    <xf numFmtId="0" fontId="43" fillId="4" borderId="0" xfId="0" applyFont="1" applyFill="1"/>
    <xf numFmtId="0" fontId="43" fillId="5" borderId="0" xfId="0" applyFont="1" applyFill="1" applyAlignment="1">
      <alignment horizontal="right"/>
    </xf>
    <xf numFmtId="2" fontId="21" fillId="4" borderId="0" xfId="0" applyNumberFormat="1" applyFont="1" applyFill="1"/>
    <xf numFmtId="0" fontId="21" fillId="5" borderId="0" xfId="0" applyFont="1" applyFill="1"/>
    <xf numFmtId="180" fontId="18" fillId="0" borderId="0" xfId="1" applyNumberFormat="1" applyFont="1"/>
    <xf numFmtId="2" fontId="18" fillId="4" borderId="0" xfId="0" applyNumberFormat="1" applyFont="1" applyFill="1"/>
    <xf numFmtId="189" fontId="18" fillId="4" borderId="0" xfId="0" applyNumberFormat="1" applyFont="1" applyFill="1" applyAlignment="1" applyProtection="1">
      <alignment horizontal="right"/>
    </xf>
    <xf numFmtId="2" fontId="21" fillId="0" borderId="0" xfId="0" applyNumberFormat="1" applyFont="1" applyAlignment="1" applyProtection="1">
      <alignment horizontal="right"/>
    </xf>
    <xf numFmtId="2" fontId="18" fillId="5" borderId="0" xfId="0" applyNumberFormat="1" applyFont="1" applyFill="1"/>
    <xf numFmtId="169" fontId="21" fillId="0" borderId="0" xfId="1" applyNumberFormat="1" applyFont="1"/>
    <xf numFmtId="43" fontId="21" fillId="0" borderId="0" xfId="1" applyNumberFormat="1" applyFont="1"/>
    <xf numFmtId="190" fontId="18" fillId="4" borderId="0" xfId="0" applyNumberFormat="1" applyFont="1" applyFill="1" applyAlignment="1" applyProtection="1">
      <alignment horizontal="right"/>
    </xf>
    <xf numFmtId="180" fontId="21" fillId="0" borderId="0" xfId="1" applyNumberFormat="1" applyFont="1"/>
    <xf numFmtId="1" fontId="21" fillId="4" borderId="0" xfId="0" applyNumberFormat="1" applyFont="1" applyFill="1"/>
    <xf numFmtId="190" fontId="21" fillId="4" borderId="0" xfId="0" applyNumberFormat="1" applyFont="1" applyFill="1" applyAlignment="1" applyProtection="1">
      <alignment horizontal="right"/>
    </xf>
    <xf numFmtId="1" fontId="21" fillId="5" borderId="0" xfId="0" applyNumberFormat="1" applyFont="1" applyFill="1"/>
    <xf numFmtId="169" fontId="21" fillId="4" borderId="0" xfId="0" applyNumberFormat="1" applyFont="1" applyFill="1"/>
    <xf numFmtId="0" fontId="18" fillId="0" borderId="0" xfId="0" applyFont="1" applyAlignment="1">
      <alignment horizontal="center"/>
    </xf>
    <xf numFmtId="0" fontId="16" fillId="0" borderId="0" xfId="0" applyFont="1"/>
    <xf numFmtId="0" fontId="15" fillId="0" borderId="0" xfId="0" applyFont="1"/>
    <xf numFmtId="0" fontId="17" fillId="0" borderId="0" xfId="0" applyFont="1" applyFill="1" applyAlignment="1">
      <alignment horizontal="left"/>
    </xf>
    <xf numFmtId="0" fontId="17" fillId="4" borderId="0" xfId="0" applyFont="1" applyFill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right"/>
    </xf>
    <xf numFmtId="0" fontId="17" fillId="2" borderId="0" xfId="0" applyFont="1" applyFill="1" applyAlignment="1">
      <alignment horizontal="right"/>
    </xf>
    <xf numFmtId="0" fontId="17" fillId="0" borderId="0" xfId="0" applyFont="1" applyAlignment="1"/>
    <xf numFmtId="0" fontId="17" fillId="4" borderId="0" xfId="0" applyFont="1" applyFill="1" applyAlignment="1">
      <alignment horizontal="right"/>
    </xf>
    <xf numFmtId="0" fontId="15" fillId="4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right"/>
    </xf>
    <xf numFmtId="0" fontId="15" fillId="4" borderId="0" xfId="0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3" fontId="17" fillId="0" borderId="0" xfId="0" applyNumberFormat="1" applyFont="1" applyAlignment="1">
      <alignment horizontal="right"/>
    </xf>
    <xf numFmtId="3" fontId="17" fillId="0" borderId="0" xfId="0" applyNumberFormat="1" applyFont="1"/>
    <xf numFmtId="187" fontId="17" fillId="0" borderId="0" xfId="0" applyNumberFormat="1" applyFont="1" applyAlignment="1">
      <alignment horizontal="right"/>
    </xf>
    <xf numFmtId="0" fontId="51" fillId="0" borderId="0" xfId="0" applyFont="1" applyAlignment="1">
      <alignment horizontal="right"/>
    </xf>
    <xf numFmtId="0" fontId="51" fillId="4" borderId="0" xfId="0" applyFont="1" applyFill="1" applyAlignment="1">
      <alignment horizontal="right"/>
    </xf>
    <xf numFmtId="187" fontId="17" fillId="0" borderId="0" xfId="0" applyNumberFormat="1" applyFont="1"/>
    <xf numFmtId="4" fontId="15" fillId="0" borderId="0" xfId="0" applyNumberFormat="1" applyFont="1"/>
    <xf numFmtId="0" fontId="17" fillId="4" borderId="0" xfId="0" applyFont="1" applyFill="1"/>
    <xf numFmtId="0" fontId="52" fillId="0" borderId="0" xfId="0" applyFont="1"/>
    <xf numFmtId="0" fontId="51" fillId="0" borderId="0" xfId="0" applyFont="1"/>
    <xf numFmtId="0" fontId="51" fillId="0" borderId="0" xfId="0" applyFont="1" applyAlignment="1"/>
    <xf numFmtId="187" fontId="51" fillId="0" borderId="0" xfId="0" applyNumberFormat="1" applyFont="1" applyAlignment="1">
      <alignment horizontal="right"/>
    </xf>
    <xf numFmtId="0" fontId="51" fillId="2" borderId="0" xfId="0" applyFont="1" applyFill="1" applyAlignment="1">
      <alignment horizontal="right"/>
    </xf>
    <xf numFmtId="0" fontId="51" fillId="4" borderId="0" xfId="0" applyFont="1" applyFill="1"/>
    <xf numFmtId="0" fontId="52" fillId="4" borderId="0" xfId="0" applyFont="1" applyFill="1"/>
    <xf numFmtId="169" fontId="15" fillId="0" borderId="0" xfId="0" applyNumberFormat="1" applyFont="1" applyFill="1"/>
    <xf numFmtId="169" fontId="17" fillId="0" borderId="0" xfId="0" applyNumberFormat="1" applyFont="1" applyFill="1"/>
    <xf numFmtId="1" fontId="17" fillId="0" borderId="0" xfId="0" applyNumberFormat="1" applyFont="1" applyFill="1"/>
    <xf numFmtId="2" fontId="17" fillId="0" borderId="0" xfId="0" applyNumberFormat="1" applyFont="1" applyFill="1"/>
    <xf numFmtId="2" fontId="15" fillId="4" borderId="0" xfId="0" applyNumberFormat="1" applyFont="1" applyFill="1"/>
    <xf numFmtId="0" fontId="15" fillId="0" borderId="0" xfId="0" applyFont="1" applyFill="1"/>
    <xf numFmtId="0" fontId="17" fillId="0" borderId="0" xfId="0" applyFont="1" applyAlignment="1">
      <alignment horizontal="left"/>
    </xf>
    <xf numFmtId="1" fontId="15" fillId="0" borderId="0" xfId="0" applyNumberFormat="1" applyFont="1"/>
    <xf numFmtId="10" fontId="15" fillId="0" borderId="0" xfId="6" applyNumberFormat="1" applyFont="1"/>
    <xf numFmtId="1" fontId="17" fillId="0" borderId="0" xfId="6" applyNumberFormat="1" applyFont="1"/>
    <xf numFmtId="169" fontId="17" fillId="0" borderId="0" xfId="6" applyNumberFormat="1" applyFont="1"/>
    <xf numFmtId="2" fontId="15" fillId="2" borderId="0" xfId="0" applyNumberFormat="1" applyFont="1" applyFill="1"/>
    <xf numFmtId="179" fontId="17" fillId="0" borderId="0" xfId="1" applyNumberFormat="1" applyFont="1"/>
    <xf numFmtId="180" fontId="15" fillId="0" borderId="0" xfId="1" applyNumberFormat="1" applyFont="1"/>
    <xf numFmtId="3" fontId="15" fillId="0" borderId="0" xfId="0" quotePrefix="1" applyNumberFormat="1" applyFont="1" applyBorder="1" applyAlignment="1" applyProtection="1">
      <alignment horizontal="right"/>
      <protection locked="0"/>
    </xf>
    <xf numFmtId="164" fontId="15" fillId="0" borderId="0" xfId="6" applyNumberFormat="1" applyFont="1"/>
    <xf numFmtId="1" fontId="15" fillId="0" borderId="0" xfId="0" applyNumberFormat="1" applyFont="1" applyAlignment="1" applyProtection="1">
      <alignment horizontal="right"/>
    </xf>
    <xf numFmtId="1" fontId="15" fillId="0" borderId="0" xfId="6" applyNumberFormat="1" applyFont="1" applyAlignment="1" applyProtection="1">
      <alignment horizontal="right"/>
    </xf>
    <xf numFmtId="2" fontId="15" fillId="0" borderId="0" xfId="6" applyNumberFormat="1" applyFont="1" applyAlignment="1" applyProtection="1">
      <alignment horizontal="right"/>
    </xf>
    <xf numFmtId="165" fontId="17" fillId="0" borderId="0" xfId="0" applyNumberFormat="1" applyFont="1"/>
    <xf numFmtId="169" fontId="15" fillId="0" borderId="0" xfId="6" applyNumberFormat="1" applyFont="1" applyAlignment="1" applyProtection="1">
      <alignment horizontal="right"/>
    </xf>
    <xf numFmtId="2" fontId="15" fillId="0" borderId="0" xfId="0" applyNumberFormat="1" applyFont="1"/>
    <xf numFmtId="9" fontId="15" fillId="0" borderId="0" xfId="6" applyNumberFormat="1" applyFont="1"/>
    <xf numFmtId="1" fontId="15" fillId="0" borderId="0" xfId="6" applyNumberFormat="1" applyFont="1"/>
    <xf numFmtId="1" fontId="15" fillId="0" borderId="0" xfId="1" applyNumberFormat="1" applyFont="1"/>
    <xf numFmtId="1" fontId="17" fillId="0" borderId="0" xfId="1" applyNumberFormat="1" applyFont="1"/>
    <xf numFmtId="43" fontId="15" fillId="4" borderId="0" xfId="1" applyNumberFormat="1" applyFont="1" applyFill="1"/>
    <xf numFmtId="181" fontId="15" fillId="0" borderId="0" xfId="1" applyNumberFormat="1" applyFont="1"/>
    <xf numFmtId="179" fontId="15" fillId="0" borderId="0" xfId="1" applyNumberFormat="1" applyFont="1" applyAlignment="1">
      <alignment horizontal="right"/>
    </xf>
    <xf numFmtId="179" fontId="15" fillId="0" borderId="0" xfId="1" applyNumberFormat="1" applyFont="1"/>
    <xf numFmtId="169" fontId="17" fillId="0" borderId="0" xfId="1" applyNumberFormat="1" applyFont="1"/>
    <xf numFmtId="2" fontId="17" fillId="0" borderId="0" xfId="1" applyNumberFormat="1" applyFont="1"/>
    <xf numFmtId="2" fontId="15" fillId="2" borderId="0" xfId="1" applyNumberFormat="1" applyFont="1" applyFill="1"/>
    <xf numFmtId="1" fontId="15" fillId="2" borderId="0" xfId="0" applyNumberFormat="1" applyFont="1" applyFill="1"/>
    <xf numFmtId="1" fontId="15" fillId="0" borderId="0" xfId="0" applyNumberFormat="1" applyFont="1" applyFill="1"/>
    <xf numFmtId="169" fontId="15" fillId="4" borderId="0" xfId="0" applyNumberFormat="1" applyFont="1" applyFill="1"/>
  </cellXfs>
  <cellStyles count="7">
    <cellStyle name="Comma" xfId="1" builtinId="3"/>
    <cellStyle name="Hyperlink" xfId="2" builtinId="8"/>
    <cellStyle name="Normal" xfId="0" builtinId="0"/>
    <cellStyle name="Normal 2" xfId="3"/>
    <cellStyle name="Normal_2008 Population" xfId="4"/>
    <cellStyle name="Normal_Sheet1" xfId="5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tp://ftp.epa.gov/EmisInventory/2011nei/20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6"/>
  <sheetViews>
    <sheetView tabSelected="1" workbookViewId="0">
      <selection activeCell="C11" sqref="C11"/>
    </sheetView>
  </sheetViews>
  <sheetFormatPr defaultRowHeight="20.100000000000001" customHeight="1"/>
  <cols>
    <col min="1" max="1" width="13.7109375" style="309" customWidth="1"/>
    <col min="2" max="2" width="10.28515625" style="309" customWidth="1"/>
    <col min="3" max="3" width="9.85546875" style="309" customWidth="1"/>
    <col min="4" max="4" width="10.140625" style="309" customWidth="1"/>
    <col min="5" max="5" width="10.7109375" style="309" customWidth="1"/>
    <col min="6" max="6" width="9.7109375" style="309" customWidth="1"/>
    <col min="7" max="7" width="12" style="309" customWidth="1"/>
    <col min="8" max="8" width="9.28515625" style="309" customWidth="1"/>
    <col min="9" max="9" width="10.140625" style="309" customWidth="1"/>
    <col min="10" max="10" width="9.7109375" style="309" customWidth="1"/>
    <col min="11" max="11" width="8.42578125" style="309" customWidth="1"/>
    <col min="12" max="12" width="10.28515625" style="309" customWidth="1"/>
    <col min="13" max="13" width="9.42578125" style="309" customWidth="1"/>
    <col min="14" max="14" width="0.85546875" style="309" customWidth="1"/>
    <col min="15" max="15" width="9.5703125" style="343" customWidth="1"/>
    <col min="16" max="16" width="12.28515625" style="309" customWidth="1"/>
    <col min="17" max="17" width="8.42578125" style="309" customWidth="1"/>
    <col min="18" max="18" width="1.28515625" style="309" customWidth="1"/>
    <col min="19" max="19" width="7.140625" style="309" customWidth="1"/>
    <col min="20" max="20" width="10.140625" style="309" customWidth="1"/>
    <col min="21" max="21" width="6.5703125" style="309" customWidth="1"/>
    <col min="22" max="22" width="6" style="309" customWidth="1"/>
    <col min="23" max="23" width="5.5703125" style="309" customWidth="1"/>
    <col min="24" max="24" width="4.85546875" style="309" customWidth="1"/>
    <col min="25" max="25" width="5.140625" style="309" customWidth="1"/>
    <col min="26" max="26" width="5.5703125" style="309" customWidth="1"/>
    <col min="27" max="27" width="5.7109375" style="309" customWidth="1"/>
    <col min="28" max="28" width="6.28515625" style="309" customWidth="1"/>
    <col min="29" max="29" width="0.7109375" style="309" customWidth="1"/>
    <col min="30" max="30" width="8.140625" style="309" customWidth="1"/>
    <col min="31" max="31" width="7" style="309" customWidth="1"/>
    <col min="32" max="32" width="6.7109375" style="309" customWidth="1"/>
    <col min="33" max="33" width="8" style="309" customWidth="1"/>
    <col min="34" max="34" width="5.42578125" style="309" customWidth="1"/>
    <col min="35" max="35" width="0.7109375" style="309" customWidth="1"/>
    <col min="36" max="36" width="6.7109375" style="309" customWidth="1"/>
    <col min="37" max="37" width="8.140625" style="309" customWidth="1"/>
    <col min="38" max="38" width="8.28515625" style="309" customWidth="1"/>
    <col min="39" max="39" width="5.7109375" style="309" customWidth="1"/>
    <col min="40" max="40" width="7" style="309" customWidth="1"/>
    <col min="41" max="41" width="7.7109375" style="309" customWidth="1"/>
    <col min="42" max="42" width="5.7109375" style="309" customWidth="1"/>
    <col min="43" max="43" width="1.28515625" style="309" customWidth="1"/>
    <col min="44" max="44" width="7.85546875" style="309" customWidth="1"/>
    <col min="45" max="45" width="7.5703125" style="309" customWidth="1"/>
    <col min="46" max="46" width="0.7109375" style="309" customWidth="1"/>
    <col min="47" max="16384" width="9.140625" style="309"/>
  </cols>
  <sheetData>
    <row r="1" spans="1:45" ht="20.100000000000001" customHeight="1">
      <c r="A1" s="312" t="s">
        <v>310</v>
      </c>
      <c r="B1" s="312"/>
      <c r="C1" s="312"/>
      <c r="D1" s="312"/>
      <c r="E1" s="312"/>
      <c r="F1" s="312"/>
      <c r="G1" s="312"/>
      <c r="H1" s="312"/>
      <c r="I1" s="312"/>
      <c r="S1" s="312" t="s">
        <v>327</v>
      </c>
    </row>
    <row r="2" spans="1:45" ht="20.100000000000001" customHeight="1">
      <c r="A2" s="308" t="s">
        <v>469</v>
      </c>
      <c r="B2" s="312"/>
      <c r="C2" s="312"/>
      <c r="F2" s="309" t="s">
        <v>395</v>
      </c>
      <c r="G2" s="312"/>
      <c r="H2" s="312"/>
      <c r="I2" s="312"/>
      <c r="O2" s="344" t="s">
        <v>402</v>
      </c>
      <c r="AD2" s="309" t="s">
        <v>389</v>
      </c>
    </row>
    <row r="3" spans="1:45" ht="20.100000000000001" customHeight="1">
      <c r="A3" s="312"/>
      <c r="B3" s="312" t="s">
        <v>474</v>
      </c>
      <c r="C3" s="312"/>
      <c r="D3" s="312"/>
      <c r="E3" s="312"/>
      <c r="F3" s="309" t="s">
        <v>0</v>
      </c>
      <c r="G3" s="312"/>
      <c r="H3" s="312"/>
      <c r="I3" s="312"/>
      <c r="L3" s="313" t="s">
        <v>11</v>
      </c>
      <c r="M3" s="313" t="s">
        <v>11</v>
      </c>
      <c r="O3" s="309" t="s">
        <v>75</v>
      </c>
      <c r="S3" s="308" t="s">
        <v>391</v>
      </c>
      <c r="AD3" s="309" t="s">
        <v>390</v>
      </c>
    </row>
    <row r="4" spans="1:45" ht="17.25" customHeight="1">
      <c r="F4" s="313" t="s">
        <v>15</v>
      </c>
      <c r="I4" s="313"/>
      <c r="K4" s="313" t="s">
        <v>52</v>
      </c>
      <c r="L4" s="313" t="s">
        <v>1</v>
      </c>
      <c r="M4" s="313" t="s">
        <v>1</v>
      </c>
      <c r="N4" s="314"/>
      <c r="P4" s="313" t="s">
        <v>2</v>
      </c>
      <c r="V4" s="332" t="s">
        <v>70</v>
      </c>
      <c r="Z4" s="309" t="s">
        <v>73</v>
      </c>
      <c r="AC4" s="317"/>
      <c r="AD4" s="344" t="s">
        <v>71</v>
      </c>
      <c r="AF4" s="309" t="s">
        <v>4</v>
      </c>
      <c r="AI4" s="317"/>
      <c r="AJ4" s="310" t="s">
        <v>72</v>
      </c>
      <c r="AK4" s="310"/>
      <c r="AL4" s="310"/>
      <c r="AM4" s="310"/>
      <c r="AN4" s="310"/>
      <c r="AO4" s="310"/>
      <c r="AP4" s="310"/>
      <c r="AQ4" s="311"/>
      <c r="AR4" s="344" t="s">
        <v>11</v>
      </c>
    </row>
    <row r="5" spans="1:45" ht="15" customHeight="1">
      <c r="B5" s="309" t="s">
        <v>76</v>
      </c>
      <c r="C5" s="312"/>
      <c r="D5" s="313" t="s">
        <v>5</v>
      </c>
      <c r="E5" s="312"/>
      <c r="F5" s="312" t="s">
        <v>22</v>
      </c>
      <c r="G5" s="313" t="s">
        <v>1</v>
      </c>
      <c r="H5" s="313" t="s">
        <v>6</v>
      </c>
      <c r="J5" s="313" t="s">
        <v>14</v>
      </c>
      <c r="K5" s="313" t="s">
        <v>397</v>
      </c>
      <c r="L5" s="313" t="s">
        <v>320</v>
      </c>
      <c r="M5" s="313" t="s">
        <v>7</v>
      </c>
      <c r="N5" s="314"/>
      <c r="O5" s="309"/>
      <c r="P5" s="312" t="s">
        <v>80</v>
      </c>
      <c r="Q5" s="315"/>
      <c r="R5" s="315"/>
      <c r="T5" s="312"/>
      <c r="U5" s="312"/>
      <c r="V5" s="312"/>
      <c r="W5" s="312"/>
      <c r="X5" s="312"/>
      <c r="Y5" s="312"/>
      <c r="Z5" s="312"/>
      <c r="AA5" s="312"/>
      <c r="AB5" s="313"/>
      <c r="AC5" s="316"/>
      <c r="AD5" s="313" t="s">
        <v>8</v>
      </c>
      <c r="AE5" s="322"/>
      <c r="AF5" s="313" t="s">
        <v>316</v>
      </c>
      <c r="AG5" s="312"/>
      <c r="AH5" s="313" t="s">
        <v>3</v>
      </c>
      <c r="AI5" s="317"/>
      <c r="AJ5" s="318" t="s">
        <v>50</v>
      </c>
      <c r="AK5" s="318" t="s">
        <v>51</v>
      </c>
      <c r="AL5" s="318"/>
      <c r="AN5" s="319" t="s">
        <v>316</v>
      </c>
      <c r="AO5" s="319"/>
      <c r="AP5" s="318"/>
      <c r="AQ5" s="320"/>
      <c r="AR5" s="344" t="s">
        <v>56</v>
      </c>
    </row>
    <row r="6" spans="1:45" ht="15" customHeight="1">
      <c r="B6" s="313" t="s">
        <v>5</v>
      </c>
      <c r="C6" s="313" t="s">
        <v>5</v>
      </c>
      <c r="D6" s="313" t="s">
        <v>65</v>
      </c>
      <c r="E6" s="313" t="s">
        <v>5</v>
      </c>
      <c r="F6" s="313" t="s">
        <v>9</v>
      </c>
      <c r="G6" s="313" t="s">
        <v>7</v>
      </c>
      <c r="H6" s="313" t="s">
        <v>10</v>
      </c>
      <c r="J6" s="313" t="s">
        <v>11</v>
      </c>
      <c r="K6" s="313" t="s">
        <v>19</v>
      </c>
      <c r="L6" s="313" t="s">
        <v>11</v>
      </c>
      <c r="M6" s="313" t="s">
        <v>11</v>
      </c>
      <c r="N6" s="314"/>
      <c r="O6" s="313" t="s">
        <v>74</v>
      </c>
      <c r="P6" s="313" t="s">
        <v>12</v>
      </c>
      <c r="Q6" s="313" t="s">
        <v>82</v>
      </c>
      <c r="R6" s="313"/>
      <c r="S6" s="309" t="s">
        <v>55</v>
      </c>
      <c r="T6" s="312"/>
      <c r="U6" s="312">
        <v>2011</v>
      </c>
      <c r="V6" s="312"/>
      <c r="W6" s="313"/>
      <c r="X6" s="313"/>
      <c r="Y6" s="313"/>
      <c r="Z6" s="313" t="s">
        <v>60</v>
      </c>
      <c r="AA6" s="313" t="s">
        <v>49</v>
      </c>
      <c r="AB6" s="312"/>
      <c r="AC6" s="316"/>
      <c r="AD6" s="312"/>
      <c r="AE6" s="313" t="s">
        <v>387</v>
      </c>
      <c r="AF6" s="313" t="s">
        <v>52</v>
      </c>
      <c r="AG6" s="313" t="s">
        <v>14</v>
      </c>
      <c r="AH6" s="313" t="s">
        <v>8</v>
      </c>
      <c r="AI6" s="317"/>
      <c r="AJ6" s="310" t="s">
        <v>52</v>
      </c>
      <c r="AK6" s="321" t="s">
        <v>53</v>
      </c>
      <c r="AM6" s="322" t="s">
        <v>317</v>
      </c>
      <c r="AN6" s="321" t="s">
        <v>52</v>
      </c>
      <c r="AO6" s="321" t="s">
        <v>11</v>
      </c>
      <c r="AP6" s="321" t="s">
        <v>11</v>
      </c>
      <c r="AQ6" s="316"/>
      <c r="AR6" s="344" t="s">
        <v>57</v>
      </c>
    </row>
    <row r="7" spans="1:45" ht="15.75" customHeight="1">
      <c r="B7" s="313" t="s">
        <v>172</v>
      </c>
      <c r="C7" s="313" t="s">
        <v>63</v>
      </c>
      <c r="D7" s="323" t="s">
        <v>66</v>
      </c>
      <c r="E7" s="313" t="s">
        <v>65</v>
      </c>
      <c r="F7" s="313" t="s">
        <v>15</v>
      </c>
      <c r="G7" s="313" t="s">
        <v>16</v>
      </c>
      <c r="H7" s="313" t="s">
        <v>17</v>
      </c>
      <c r="I7" s="313" t="s">
        <v>11</v>
      </c>
      <c r="J7" s="313" t="s">
        <v>81</v>
      </c>
      <c r="K7" s="322" t="s">
        <v>399</v>
      </c>
      <c r="L7" s="313" t="s">
        <v>18</v>
      </c>
      <c r="M7" s="313" t="s">
        <v>18</v>
      </c>
      <c r="N7" s="314"/>
      <c r="O7" s="313" t="s">
        <v>12</v>
      </c>
      <c r="P7" s="313" t="s">
        <v>20</v>
      </c>
      <c r="Q7" s="313" t="s">
        <v>83</v>
      </c>
      <c r="R7" s="313"/>
      <c r="S7" s="312"/>
      <c r="T7" s="312">
        <v>2011</v>
      </c>
      <c r="U7" s="313" t="s">
        <v>322</v>
      </c>
      <c r="V7" s="312"/>
      <c r="W7" s="313" t="s">
        <v>58</v>
      </c>
      <c r="X7" s="313" t="s">
        <v>60</v>
      </c>
      <c r="Y7" s="313" t="s">
        <v>14</v>
      </c>
      <c r="Z7" s="313" t="s">
        <v>316</v>
      </c>
      <c r="AA7" s="313" t="s">
        <v>25</v>
      </c>
      <c r="AB7" s="313" t="s">
        <v>49</v>
      </c>
      <c r="AC7" s="316"/>
      <c r="AD7" s="313" t="s">
        <v>151</v>
      </c>
      <c r="AE7" s="313" t="s">
        <v>388</v>
      </c>
      <c r="AF7" s="313" t="s">
        <v>19</v>
      </c>
      <c r="AG7" s="313" t="s">
        <v>19</v>
      </c>
      <c r="AH7" s="313" t="s">
        <v>21</v>
      </c>
      <c r="AI7" s="317"/>
      <c r="AJ7" s="318" t="s">
        <v>54</v>
      </c>
      <c r="AK7" s="318" t="s">
        <v>326</v>
      </c>
      <c r="AL7" s="321" t="s">
        <v>11</v>
      </c>
      <c r="AM7" s="322" t="s">
        <v>165</v>
      </c>
      <c r="AN7" s="319">
        <v>354.4</v>
      </c>
      <c r="AO7" s="319" t="s">
        <v>25</v>
      </c>
      <c r="AP7" s="318" t="s">
        <v>318</v>
      </c>
      <c r="AQ7" s="311"/>
    </row>
    <row r="8" spans="1:45" ht="15" customHeight="1">
      <c r="B8" s="324">
        <v>333334339</v>
      </c>
      <c r="C8" s="323" t="s">
        <v>18</v>
      </c>
      <c r="D8" s="313" t="s">
        <v>67</v>
      </c>
      <c r="E8" s="323" t="s">
        <v>66</v>
      </c>
      <c r="F8" s="313" t="s">
        <v>22</v>
      </c>
      <c r="G8" s="325">
        <v>8167</v>
      </c>
      <c r="H8" s="322" t="s">
        <v>396</v>
      </c>
      <c r="I8" s="313" t="s">
        <v>400</v>
      </c>
      <c r="J8" s="313" t="s">
        <v>23</v>
      </c>
      <c r="K8" s="322" t="s">
        <v>398</v>
      </c>
      <c r="L8" s="313" t="s">
        <v>23</v>
      </c>
      <c r="M8" s="313" t="s">
        <v>23</v>
      </c>
      <c r="N8" s="314"/>
      <c r="O8" s="321" t="s">
        <v>9</v>
      </c>
      <c r="P8" s="313" t="s">
        <v>312</v>
      </c>
      <c r="Q8" s="313" t="s">
        <v>84</v>
      </c>
      <c r="R8" s="313"/>
      <c r="S8" s="312"/>
      <c r="T8" s="313" t="s">
        <v>24</v>
      </c>
      <c r="U8" s="313" t="s">
        <v>323</v>
      </c>
      <c r="V8" s="313" t="s">
        <v>24</v>
      </c>
      <c r="W8" s="313" t="s">
        <v>165</v>
      </c>
      <c r="X8" s="313" t="s">
        <v>316</v>
      </c>
      <c r="Y8" s="313" t="s">
        <v>60</v>
      </c>
      <c r="Z8" s="313" t="s">
        <v>79</v>
      </c>
      <c r="AA8" s="313" t="s">
        <v>316</v>
      </c>
      <c r="AB8" s="313" t="s">
        <v>26</v>
      </c>
      <c r="AC8" s="316"/>
      <c r="AD8" s="313" t="s">
        <v>59</v>
      </c>
      <c r="AE8" s="313" t="s">
        <v>60</v>
      </c>
      <c r="AF8" s="313" t="s">
        <v>25</v>
      </c>
      <c r="AG8" s="313" t="s">
        <v>25</v>
      </c>
      <c r="AH8" s="313" t="s">
        <v>26</v>
      </c>
      <c r="AI8" s="317"/>
      <c r="AJ8" s="326" t="s">
        <v>25</v>
      </c>
      <c r="AK8" s="322" t="s">
        <v>325</v>
      </c>
      <c r="AL8" s="326" t="s">
        <v>25</v>
      </c>
      <c r="AM8" s="326"/>
      <c r="AN8" s="326" t="s">
        <v>253</v>
      </c>
      <c r="AO8" s="326"/>
      <c r="AP8" s="326" t="s">
        <v>26</v>
      </c>
      <c r="AQ8" s="327"/>
      <c r="AR8" s="326" t="s">
        <v>25</v>
      </c>
      <c r="AS8" s="326" t="s">
        <v>26</v>
      </c>
    </row>
    <row r="9" spans="1:45" ht="17.25" customHeight="1">
      <c r="B9" s="313" t="s">
        <v>27</v>
      </c>
      <c r="C9" s="315" t="s">
        <v>27</v>
      </c>
      <c r="D9" s="326" t="s">
        <v>28</v>
      </c>
      <c r="E9" s="313" t="s">
        <v>67</v>
      </c>
      <c r="F9" s="328">
        <v>8167</v>
      </c>
      <c r="G9" s="313" t="s">
        <v>306</v>
      </c>
      <c r="H9" s="325">
        <v>1037.5</v>
      </c>
      <c r="I9" s="313" t="s">
        <v>401</v>
      </c>
      <c r="J9" s="313" t="s">
        <v>19</v>
      </c>
      <c r="K9" s="329">
        <v>-1344.7</v>
      </c>
      <c r="L9" s="313" t="s">
        <v>19</v>
      </c>
      <c r="M9" s="313" t="s">
        <v>78</v>
      </c>
      <c r="N9" s="314"/>
      <c r="O9" s="326" t="s">
        <v>25</v>
      </c>
      <c r="P9" s="313" t="s">
        <v>314</v>
      </c>
      <c r="Q9" s="313" t="s">
        <v>321</v>
      </c>
      <c r="R9" s="313"/>
      <c r="S9" s="312"/>
      <c r="T9" s="313" t="s">
        <v>28</v>
      </c>
      <c r="U9" s="313" t="s">
        <v>69</v>
      </c>
      <c r="V9" s="313" t="s">
        <v>29</v>
      </c>
      <c r="W9" s="313" t="s">
        <v>324</v>
      </c>
      <c r="X9" s="313" t="s">
        <v>62</v>
      </c>
      <c r="Y9" s="313"/>
      <c r="Z9" s="326" t="s">
        <v>69</v>
      </c>
      <c r="AA9" s="322" t="s">
        <v>319</v>
      </c>
      <c r="AB9" s="313" t="s">
        <v>30</v>
      </c>
      <c r="AC9" s="330"/>
      <c r="AD9" s="312"/>
      <c r="AF9" s="312"/>
      <c r="AG9" s="312"/>
      <c r="AH9" s="312"/>
      <c r="AI9" s="317"/>
      <c r="AK9" s="326" t="s">
        <v>25</v>
      </c>
      <c r="AL9" s="318"/>
      <c r="AM9" s="318"/>
      <c r="AN9" s="318"/>
      <c r="AO9" s="318"/>
      <c r="AP9" s="318"/>
      <c r="AQ9" s="320"/>
    </row>
    <row r="10" spans="1:45" s="331" customFormat="1" ht="13.5" customHeight="1">
      <c r="B10" s="332"/>
      <c r="C10" s="333" t="s">
        <v>64</v>
      </c>
      <c r="D10" s="309" t="s">
        <v>308</v>
      </c>
      <c r="E10" s="326" t="s">
        <v>68</v>
      </c>
      <c r="F10" s="326" t="s">
        <v>77</v>
      </c>
      <c r="G10" s="326" t="s">
        <v>307</v>
      </c>
      <c r="H10" s="326" t="s">
        <v>25</v>
      </c>
      <c r="I10" s="334" t="s">
        <v>25</v>
      </c>
      <c r="J10" s="326" t="s">
        <v>25</v>
      </c>
      <c r="K10" s="326" t="s">
        <v>25</v>
      </c>
      <c r="L10" s="326" t="s">
        <v>25</v>
      </c>
      <c r="M10" s="326" t="s">
        <v>26</v>
      </c>
      <c r="N10" s="335"/>
      <c r="P10" s="326" t="s">
        <v>313</v>
      </c>
      <c r="Q10" s="326" t="s">
        <v>26</v>
      </c>
      <c r="R10" s="326"/>
      <c r="S10" s="332"/>
      <c r="T10" s="332"/>
      <c r="U10" s="332"/>
      <c r="V10" s="332"/>
      <c r="W10" s="332"/>
      <c r="X10" s="332"/>
      <c r="Y10" s="332"/>
      <c r="AA10" s="332"/>
      <c r="AB10" s="326"/>
      <c r="AC10" s="336"/>
      <c r="AD10" s="332"/>
      <c r="AE10" s="332"/>
      <c r="AF10" s="332"/>
      <c r="AG10" s="332"/>
      <c r="AH10" s="332"/>
      <c r="AI10" s="337"/>
      <c r="AQ10" s="337"/>
    </row>
    <row r="11" spans="1:45" ht="24" customHeight="1">
      <c r="A11" s="309" t="s">
        <v>31</v>
      </c>
      <c r="B11" s="345">
        <v>1029</v>
      </c>
      <c r="C11" s="346">
        <f>SUM(B11/116152)</f>
        <v>8.8590812039396651E-3</v>
      </c>
      <c r="D11" s="347">
        <f>SUM(C11*380085)</f>
        <v>3367.2038793994075</v>
      </c>
      <c r="E11" s="348">
        <f>SUM(D11/312)</f>
        <v>10.792320126280153</v>
      </c>
      <c r="F11" s="41">
        <f>SUM(C11*8167)</f>
        <v>72.352116192575238</v>
      </c>
      <c r="G11" s="41">
        <f>SUM(C11*4736.9)</f>
        <v>41.964581754941797</v>
      </c>
      <c r="H11" s="41">
        <f>SUM(C11*1037.5)</f>
        <v>9.1912967490874031</v>
      </c>
      <c r="I11" s="41">
        <f>SUM(F11,H11)</f>
        <v>81.543412941662638</v>
      </c>
      <c r="J11" s="41">
        <f t="shared" ref="J11:J24" si="0">SUM(G11,H11)</f>
        <v>51.155878504029204</v>
      </c>
      <c r="K11" s="41">
        <f t="shared" ref="K11:K24" si="1">SUM(C11*1344.7)</f>
        <v>11.912806494937668</v>
      </c>
      <c r="L11" s="43">
        <f>SUM(J11-K11)</f>
        <v>39.243072009091534</v>
      </c>
      <c r="M11" s="44">
        <f>SUM(L11/312)</f>
        <v>0.12577907695221646</v>
      </c>
      <c r="N11" s="349"/>
      <c r="O11" s="338">
        <f>SUM(T11*7.84)/2000</f>
        <v>845.81448</v>
      </c>
      <c r="P11" s="350">
        <f>SUM(T11*5.92)/2000</f>
        <v>638.67624000000001</v>
      </c>
      <c r="Q11" s="44">
        <f>SUM(P11/365)</f>
        <v>1.7497979178082192</v>
      </c>
      <c r="R11" s="44"/>
      <c r="S11" s="309" t="s">
        <v>31</v>
      </c>
      <c r="T11" s="351">
        <v>215769</v>
      </c>
      <c r="U11" s="352">
        <f>SUM(T11/365)</f>
        <v>591.14794520547946</v>
      </c>
      <c r="V11" s="353">
        <f>SUM(T11/6587536)</f>
        <v>3.2754128402486149E-2</v>
      </c>
      <c r="W11" s="354">
        <v>142</v>
      </c>
      <c r="X11" s="355">
        <f>SUM(W11/3930)*741</f>
        <v>26.774045801526714</v>
      </c>
      <c r="Y11" s="355">
        <f>SUM(W11-X11)</f>
        <v>115.22595419847329</v>
      </c>
      <c r="Z11" s="356">
        <f>SUM(Y11/312)</f>
        <v>0.36931395576433745</v>
      </c>
      <c r="AA11" s="44">
        <f>SUM(Y11*9.2)/2000</f>
        <v>0.53003938931297701</v>
      </c>
      <c r="AB11" s="357">
        <f>SUM(AA11/312)</f>
        <v>1.6988441965159519E-3</v>
      </c>
      <c r="AC11" s="342"/>
      <c r="AD11" s="345">
        <v>59</v>
      </c>
      <c r="AE11" s="41">
        <f>SUM(AD11*201)/2000</f>
        <v>5.9295</v>
      </c>
      <c r="AF11" s="41">
        <f>SUM(AD11/18362)*602.4</f>
        <v>1.9356061431216642</v>
      </c>
      <c r="AG11" s="43">
        <f>SUM(AE11-AF11)</f>
        <v>3.9938938568783358</v>
      </c>
      <c r="AH11" s="44">
        <f>SUM(AG11/260)</f>
        <v>1.536113021876283E-2</v>
      </c>
      <c r="AI11" s="317"/>
      <c r="AJ11" s="338">
        <f>SUM(T11*0.1081)/2000</f>
        <v>11.66231445</v>
      </c>
      <c r="AK11" s="338">
        <f>SUM(T11*1.0974)/2000</f>
        <v>118.39245029999999</v>
      </c>
      <c r="AL11" s="339">
        <f t="shared" ref="AL11:AL24" si="2">SUM(AJ11,AK11)</f>
        <v>130.05476475</v>
      </c>
      <c r="AM11" s="340">
        <v>70</v>
      </c>
      <c r="AN11" s="339">
        <f>SUM(AM11/5877)*354.4</f>
        <v>4.2212012931767902</v>
      </c>
      <c r="AO11" s="339">
        <f>SUM(AL11-AN11)</f>
        <v>125.83356345682321</v>
      </c>
      <c r="AP11" s="341">
        <f>SUM(AO11/312)</f>
        <v>0.40331270338725389</v>
      </c>
      <c r="AQ11" s="342"/>
      <c r="AR11" s="43">
        <f>SUM(L11,AA11,P11,AG11,AO11)</f>
        <v>808.276808712106</v>
      </c>
      <c r="AS11" s="44">
        <f t="shared" ref="AS11:AS24" si="3">SUM(M11,AB11,Q11,AH11,AP11)</f>
        <v>2.2959496725629682</v>
      </c>
    </row>
    <row r="12" spans="1:45" ht="20.100000000000001" customHeight="1">
      <c r="A12" s="309" t="s">
        <v>32</v>
      </c>
      <c r="B12" s="345">
        <v>2644</v>
      </c>
      <c r="C12" s="346">
        <f t="shared" ref="C12:C26" si="4">SUM(B12/116152)</f>
        <v>2.2763275707693369E-2</v>
      </c>
      <c r="D12" s="347">
        <f t="shared" ref="D12:D26" si="5">SUM(C12*380085)</f>
        <v>8651.9796473586339</v>
      </c>
      <c r="E12" s="348">
        <f t="shared" ref="E12:E27" si="6">SUM(D12/312)</f>
        <v>27.730703997944339</v>
      </c>
      <c r="F12" s="41">
        <f t="shared" ref="F12:F26" si="7">SUM(C12*8167)</f>
        <v>185.90767270473174</v>
      </c>
      <c r="G12" s="41">
        <f t="shared" ref="G12:G26" si="8">SUM(C12*4736.9)</f>
        <v>107.82736069977271</v>
      </c>
      <c r="H12" s="41">
        <f t="shared" ref="H12:H26" si="9">SUM(C12*1037.5)</f>
        <v>23.616898546731871</v>
      </c>
      <c r="I12" s="41">
        <f t="shared" ref="I12:I26" si="10">SUM(F12,H12)</f>
        <v>209.52457125146361</v>
      </c>
      <c r="J12" s="41">
        <f t="shared" si="0"/>
        <v>131.44425924650457</v>
      </c>
      <c r="K12" s="41">
        <f t="shared" si="1"/>
        <v>30.609776844135276</v>
      </c>
      <c r="L12" s="43">
        <f t="shared" ref="L12:L26" si="11">SUM(J12-K12)</f>
        <v>100.8344824023693</v>
      </c>
      <c r="M12" s="44">
        <f t="shared" ref="M12:M24" si="12">SUM(L12/312)</f>
        <v>0.32318744359733753</v>
      </c>
      <c r="N12" s="349"/>
      <c r="O12" s="338">
        <f t="shared" ref="O12:O26" si="13">SUM(T12*7.84)/2000</f>
        <v>511.39535999999998</v>
      </c>
      <c r="P12" s="350">
        <f t="shared" ref="P12:P26" si="14">SUM(T12*5.92)/2000</f>
        <v>386.15568000000002</v>
      </c>
      <c r="Q12" s="44">
        <f t="shared" ref="Q12:Q26" si="15">SUM(P12/365)</f>
        <v>1.0579607671232878</v>
      </c>
      <c r="R12" s="44"/>
      <c r="S12" s="309" t="s">
        <v>32</v>
      </c>
      <c r="T12" s="351">
        <v>130458</v>
      </c>
      <c r="U12" s="352">
        <f t="shared" ref="U12:U26" si="16">SUM(T12/365)</f>
        <v>357.41917808219176</v>
      </c>
      <c r="V12" s="353">
        <f t="shared" ref="V12:V26" si="17">SUM(T12/6587536)</f>
        <v>1.9803762742245355E-2</v>
      </c>
      <c r="W12" s="354">
        <v>34</v>
      </c>
      <c r="X12" s="355">
        <f t="shared" ref="X12:X26" si="18">SUM(W12/3930)*741</f>
        <v>6.4106870229007624</v>
      </c>
      <c r="Y12" s="355">
        <f t="shared" ref="Y12:Y26" si="19">SUM(W12-X12)</f>
        <v>27.589312977099237</v>
      </c>
      <c r="Z12" s="356">
        <f t="shared" ref="Z12:Z24" si="20">SUM(Y12/312)</f>
        <v>8.8427285183010379E-2</v>
      </c>
      <c r="AA12" s="44">
        <f t="shared" ref="AA12:AA26" si="21">SUM(Y12*9.2)/2000</f>
        <v>0.12691083969465647</v>
      </c>
      <c r="AB12" s="357">
        <f t="shared" ref="AB12:AB26" si="22">SUM(AA12/312)</f>
        <v>4.0676551184184767E-4</v>
      </c>
      <c r="AC12" s="342"/>
      <c r="AD12" s="345">
        <v>529</v>
      </c>
      <c r="AE12" s="41">
        <f t="shared" ref="AE12:AE26" si="23">SUM(AD12*201)/2000</f>
        <v>53.164499999999997</v>
      </c>
      <c r="AF12" s="41">
        <f t="shared" ref="AF12:AF26" si="24">SUM(AD12/18362)*602.4</f>
        <v>17.354841520531533</v>
      </c>
      <c r="AG12" s="43">
        <f t="shared" ref="AG12:AG26" si="25">SUM(AE12-AF12)</f>
        <v>35.809658479468467</v>
      </c>
      <c r="AH12" s="44">
        <f t="shared" ref="AH12:AH26" si="26">SUM(AG12/260)</f>
        <v>0.13772945569026335</v>
      </c>
      <c r="AI12" s="317"/>
      <c r="AJ12" s="338">
        <f t="shared" ref="AJ12:AJ26" si="27">SUM(T12*0.1081)/2000</f>
        <v>7.0512549</v>
      </c>
      <c r="AK12" s="338">
        <f t="shared" ref="AK12:AK26" si="28">SUM(T12*1.0974)/2000</f>
        <v>71.582304599999986</v>
      </c>
      <c r="AL12" s="339">
        <f t="shared" si="2"/>
        <v>78.63355949999999</v>
      </c>
      <c r="AM12" s="340">
        <v>0</v>
      </c>
      <c r="AN12" s="339">
        <f t="shared" ref="AN12:AN26" si="29">SUM(AM12/5877)*354.4</f>
        <v>0</v>
      </c>
      <c r="AO12" s="339">
        <f t="shared" ref="AO12:AO26" si="30">SUM(AL12-AN12)</f>
        <v>78.63355949999999</v>
      </c>
      <c r="AP12" s="341">
        <f t="shared" ref="AP12:AP26" si="31">SUM(AO12/312)</f>
        <v>0.25203063942307691</v>
      </c>
      <c r="AQ12" s="342"/>
      <c r="AR12" s="43">
        <f t="shared" ref="AR12:AR24" si="32">SUM(L12,AA12,P12,AG12,AO12)</f>
        <v>601.56029122153245</v>
      </c>
      <c r="AS12" s="44">
        <f t="shared" si="3"/>
        <v>1.7713150713458075</v>
      </c>
    </row>
    <row r="13" spans="1:45" ht="20.100000000000001" customHeight="1">
      <c r="A13" s="309" t="s">
        <v>33</v>
      </c>
      <c r="B13" s="345">
        <v>13912</v>
      </c>
      <c r="C13" s="346">
        <f t="shared" si="4"/>
        <v>0.11977408912459536</v>
      </c>
      <c r="D13" s="347">
        <f t="shared" si="5"/>
        <v>45524.334664921829</v>
      </c>
      <c r="E13" s="348">
        <f t="shared" si="6"/>
        <v>145.91132905423663</v>
      </c>
      <c r="F13" s="41">
        <f t="shared" si="7"/>
        <v>978.19498588057036</v>
      </c>
      <c r="G13" s="41">
        <f t="shared" si="8"/>
        <v>567.35788277429572</v>
      </c>
      <c r="H13" s="41">
        <f t="shared" si="9"/>
        <v>124.26561746676769</v>
      </c>
      <c r="I13" s="41">
        <f t="shared" si="10"/>
        <v>1102.4606033473381</v>
      </c>
      <c r="J13" s="41">
        <f t="shared" si="0"/>
        <v>691.62350024106343</v>
      </c>
      <c r="K13" s="41">
        <f t="shared" si="1"/>
        <v>161.06021764584338</v>
      </c>
      <c r="L13" s="43">
        <f t="shared" si="11"/>
        <v>530.56328259522002</v>
      </c>
      <c r="M13" s="44">
        <f t="shared" si="12"/>
        <v>1.7005233416513461</v>
      </c>
      <c r="N13" s="349"/>
      <c r="O13" s="338">
        <f t="shared" si="13"/>
        <v>2151.7742399999997</v>
      </c>
      <c r="P13" s="350">
        <f t="shared" si="14"/>
        <v>1624.8091199999999</v>
      </c>
      <c r="Q13" s="44">
        <f t="shared" si="15"/>
        <v>4.4515318356164384</v>
      </c>
      <c r="R13" s="44"/>
      <c r="S13" s="309" t="s">
        <v>33</v>
      </c>
      <c r="T13" s="351">
        <v>548922</v>
      </c>
      <c r="U13" s="352">
        <f t="shared" si="16"/>
        <v>1503.8958904109588</v>
      </c>
      <c r="V13" s="353">
        <f t="shared" si="17"/>
        <v>8.3327362461472695E-2</v>
      </c>
      <c r="W13" s="354">
        <v>225</v>
      </c>
      <c r="X13" s="355">
        <f t="shared" si="18"/>
        <v>42.423664122137403</v>
      </c>
      <c r="Y13" s="355">
        <f t="shared" si="19"/>
        <v>182.57633587786259</v>
      </c>
      <c r="Z13" s="356">
        <f t="shared" si="20"/>
        <v>0.58518056371109806</v>
      </c>
      <c r="AA13" s="44">
        <f t="shared" si="21"/>
        <v>0.83985114503816782</v>
      </c>
      <c r="AB13" s="357">
        <f t="shared" si="22"/>
        <v>2.6918305930710507E-3</v>
      </c>
      <c r="AC13" s="342"/>
      <c r="AD13" s="345">
        <v>1621</v>
      </c>
      <c r="AE13" s="41">
        <f t="shared" si="23"/>
        <v>162.91050000000001</v>
      </c>
      <c r="AF13" s="41">
        <f t="shared" si="24"/>
        <v>53.17995861017318</v>
      </c>
      <c r="AG13" s="43">
        <f t="shared" si="25"/>
        <v>109.73054138982684</v>
      </c>
      <c r="AH13" s="44">
        <f t="shared" si="26"/>
        <v>0.42204054380702632</v>
      </c>
      <c r="AI13" s="317"/>
      <c r="AJ13" s="338">
        <f t="shared" si="27"/>
        <v>29.669234100000001</v>
      </c>
      <c r="AK13" s="338">
        <f t="shared" si="28"/>
        <v>301.1935014</v>
      </c>
      <c r="AL13" s="339">
        <f t="shared" si="2"/>
        <v>330.86273549999999</v>
      </c>
      <c r="AM13" s="340">
        <v>247</v>
      </c>
      <c r="AN13" s="339">
        <f t="shared" si="29"/>
        <v>14.89481027735239</v>
      </c>
      <c r="AO13" s="339">
        <f t="shared" si="30"/>
        <v>315.96792522264758</v>
      </c>
      <c r="AP13" s="341">
        <f t="shared" si="31"/>
        <v>1.0127177090469475</v>
      </c>
      <c r="AQ13" s="342"/>
      <c r="AR13" s="43">
        <f t="shared" si="32"/>
        <v>2581.9107203527324</v>
      </c>
      <c r="AS13" s="44">
        <f t="shared" si="3"/>
        <v>7.5895052607148292</v>
      </c>
    </row>
    <row r="14" spans="1:45" ht="20.100000000000001" customHeight="1">
      <c r="A14" s="309" t="s">
        <v>34</v>
      </c>
      <c r="B14" s="345">
        <v>10</v>
      </c>
      <c r="C14" s="346">
        <f t="shared" si="4"/>
        <v>8.6094083614574011E-5</v>
      </c>
      <c r="D14" s="347">
        <f t="shared" si="5"/>
        <v>32.72306977064536</v>
      </c>
      <c r="E14" s="348">
        <f t="shared" si="6"/>
        <v>0.10488163388027359</v>
      </c>
      <c r="F14" s="41">
        <f t="shared" si="7"/>
        <v>0.70313038088022595</v>
      </c>
      <c r="G14" s="41">
        <f t="shared" si="8"/>
        <v>0.40781906467387558</v>
      </c>
      <c r="H14" s="41">
        <f t="shared" si="9"/>
        <v>8.9322611750120531E-2</v>
      </c>
      <c r="I14" s="41">
        <f t="shared" si="10"/>
        <v>0.79245299263034652</v>
      </c>
      <c r="J14" s="41">
        <f t="shared" si="0"/>
        <v>0.49714167642399609</v>
      </c>
      <c r="K14" s="41">
        <f t="shared" si="1"/>
        <v>0.11577071423651768</v>
      </c>
      <c r="L14" s="43">
        <f t="shared" si="11"/>
        <v>0.3813709621874784</v>
      </c>
      <c r="M14" s="44">
        <f t="shared" si="12"/>
        <v>1.2223428275239692E-3</v>
      </c>
      <c r="N14" s="349"/>
      <c r="O14" s="338">
        <f t="shared" si="13"/>
        <v>65.722719999999995</v>
      </c>
      <c r="P14" s="350">
        <f t="shared" si="14"/>
        <v>49.627360000000003</v>
      </c>
      <c r="Q14" s="44">
        <f t="shared" si="15"/>
        <v>0.13596536986301372</v>
      </c>
      <c r="R14" s="44"/>
      <c r="S14" s="309" t="s">
        <v>34</v>
      </c>
      <c r="T14" s="351">
        <v>16766</v>
      </c>
      <c r="U14" s="352">
        <f t="shared" si="16"/>
        <v>45.934246575342463</v>
      </c>
      <c r="V14" s="353">
        <f t="shared" si="17"/>
        <v>2.5451094309010226E-3</v>
      </c>
      <c r="W14" s="354">
        <v>10</v>
      </c>
      <c r="X14" s="355">
        <f t="shared" si="18"/>
        <v>1.885496183206107</v>
      </c>
      <c r="Y14" s="355">
        <f t="shared" si="19"/>
        <v>8.1145038167938921</v>
      </c>
      <c r="Z14" s="356">
        <f t="shared" si="20"/>
        <v>2.6008025053826576E-2</v>
      </c>
      <c r="AA14" s="44">
        <f t="shared" si="21"/>
        <v>3.7326717557251907E-2</v>
      </c>
      <c r="AB14" s="357">
        <f t="shared" si="22"/>
        <v>1.1963691524760227E-4</v>
      </c>
      <c r="AC14" s="342"/>
      <c r="AD14" s="345">
        <v>59</v>
      </c>
      <c r="AE14" s="41">
        <f t="shared" si="23"/>
        <v>5.9295</v>
      </c>
      <c r="AF14" s="41">
        <f t="shared" si="24"/>
        <v>1.9356061431216642</v>
      </c>
      <c r="AG14" s="43">
        <f t="shared" si="25"/>
        <v>3.9938938568783358</v>
      </c>
      <c r="AH14" s="44">
        <f t="shared" si="26"/>
        <v>1.536113021876283E-2</v>
      </c>
      <c r="AI14" s="317"/>
      <c r="AJ14" s="338">
        <f t="shared" si="27"/>
        <v>0.90620230000000002</v>
      </c>
      <c r="AK14" s="338">
        <f t="shared" si="28"/>
        <v>9.1995041999999998</v>
      </c>
      <c r="AL14" s="339">
        <f t="shared" si="2"/>
        <v>10.1057065</v>
      </c>
      <c r="AM14" s="340">
        <v>0</v>
      </c>
      <c r="AN14" s="339">
        <f t="shared" si="29"/>
        <v>0</v>
      </c>
      <c r="AO14" s="339">
        <f t="shared" si="30"/>
        <v>10.1057065</v>
      </c>
      <c r="AP14" s="341">
        <f t="shared" si="31"/>
        <v>3.2390084935897435E-2</v>
      </c>
      <c r="AQ14" s="342"/>
      <c r="AR14" s="43">
        <f t="shared" si="32"/>
        <v>64.145658036623075</v>
      </c>
      <c r="AS14" s="44">
        <f t="shared" si="3"/>
        <v>0.18505856476044555</v>
      </c>
    </row>
    <row r="15" spans="1:45" ht="20.100000000000001" customHeight="1">
      <c r="A15" s="309" t="s">
        <v>35</v>
      </c>
      <c r="B15" s="345">
        <v>19406</v>
      </c>
      <c r="C15" s="346">
        <f t="shared" si="4"/>
        <v>0.16707417866244231</v>
      </c>
      <c r="D15" s="347">
        <f t="shared" si="5"/>
        <v>63502.389196914388</v>
      </c>
      <c r="E15" s="348">
        <f t="shared" si="6"/>
        <v>203.53329870805894</v>
      </c>
      <c r="F15" s="41">
        <f t="shared" si="7"/>
        <v>1364.4948171361664</v>
      </c>
      <c r="G15" s="41">
        <f t="shared" si="8"/>
        <v>791.41367690612299</v>
      </c>
      <c r="H15" s="41">
        <f t="shared" si="9"/>
        <v>173.33946036228389</v>
      </c>
      <c r="I15" s="41">
        <f t="shared" si="10"/>
        <v>1537.8342774984503</v>
      </c>
      <c r="J15" s="41">
        <f t="shared" si="0"/>
        <v>964.75313726840682</v>
      </c>
      <c r="K15" s="41">
        <f t="shared" si="1"/>
        <v>224.66464804738618</v>
      </c>
      <c r="L15" s="43">
        <f t="shared" si="11"/>
        <v>740.08848922102061</v>
      </c>
      <c r="M15" s="44">
        <f t="shared" si="12"/>
        <v>2.3720784910930148</v>
      </c>
      <c r="N15" s="349"/>
      <c r="O15" s="338">
        <f t="shared" si="13"/>
        <v>2935.8056000000001</v>
      </c>
      <c r="P15" s="350">
        <f t="shared" si="14"/>
        <v>2216.8327999999997</v>
      </c>
      <c r="Q15" s="44">
        <f t="shared" si="15"/>
        <v>6.0735145205479446</v>
      </c>
      <c r="R15" s="44"/>
      <c r="S15" s="309" t="s">
        <v>35</v>
      </c>
      <c r="T15" s="351">
        <v>748930</v>
      </c>
      <c r="U15" s="352">
        <f t="shared" si="16"/>
        <v>2051.8630136986303</v>
      </c>
      <c r="V15" s="353">
        <f t="shared" si="17"/>
        <v>0.113688942269158</v>
      </c>
      <c r="W15" s="354">
        <v>406</v>
      </c>
      <c r="X15" s="355">
        <f t="shared" si="18"/>
        <v>76.551145038167931</v>
      </c>
      <c r="Y15" s="355">
        <f t="shared" si="19"/>
        <v>329.44885496183207</v>
      </c>
      <c r="Z15" s="356">
        <f t="shared" si="20"/>
        <v>1.0559258171853592</v>
      </c>
      <c r="AA15" s="44">
        <f t="shared" si="21"/>
        <v>1.5154647328244273</v>
      </c>
      <c r="AB15" s="357">
        <f t="shared" si="22"/>
        <v>4.8572587590526512E-3</v>
      </c>
      <c r="AC15" s="342"/>
      <c r="AD15" s="345">
        <v>1748</v>
      </c>
      <c r="AE15" s="41">
        <f t="shared" si="23"/>
        <v>175.67400000000001</v>
      </c>
      <c r="AF15" s="41">
        <f t="shared" si="24"/>
        <v>57.346432850452018</v>
      </c>
      <c r="AG15" s="43">
        <f t="shared" si="25"/>
        <v>118.32756714954799</v>
      </c>
      <c r="AH15" s="44">
        <f t="shared" si="26"/>
        <v>0.45510602749826151</v>
      </c>
      <c r="AI15" s="317"/>
      <c r="AJ15" s="338">
        <f t="shared" si="27"/>
        <v>40.4796665</v>
      </c>
      <c r="AK15" s="338">
        <f t="shared" si="28"/>
        <v>410.93789099999998</v>
      </c>
      <c r="AL15" s="339">
        <f t="shared" si="2"/>
        <v>451.41755749999999</v>
      </c>
      <c r="AM15" s="340">
        <v>925</v>
      </c>
      <c r="AN15" s="339">
        <f t="shared" si="29"/>
        <v>55.780159945550452</v>
      </c>
      <c r="AO15" s="339">
        <f t="shared" si="30"/>
        <v>395.63739755444954</v>
      </c>
      <c r="AP15" s="341">
        <f t="shared" si="31"/>
        <v>1.268068581905287</v>
      </c>
      <c r="AQ15" s="342"/>
      <c r="AR15" s="43">
        <f t="shared" si="32"/>
        <v>3472.4017186578421</v>
      </c>
      <c r="AS15" s="44">
        <f t="shared" si="3"/>
        <v>10.173624879803562</v>
      </c>
    </row>
    <row r="16" spans="1:45" ht="20.100000000000001" customHeight="1">
      <c r="A16" s="309" t="s">
        <v>36</v>
      </c>
      <c r="B16" s="345">
        <v>1776</v>
      </c>
      <c r="C16" s="346">
        <f t="shared" si="4"/>
        <v>1.5290309249948343E-2</v>
      </c>
      <c r="D16" s="347">
        <f t="shared" si="5"/>
        <v>5811.6171912666159</v>
      </c>
      <c r="E16" s="348">
        <f t="shared" si="6"/>
        <v>18.626978177136589</v>
      </c>
      <c r="F16" s="41">
        <f t="shared" si="7"/>
        <v>124.87595564432812</v>
      </c>
      <c r="G16" s="41">
        <f t="shared" si="8"/>
        <v>72.428665886080296</v>
      </c>
      <c r="H16" s="41">
        <f t="shared" si="9"/>
        <v>15.863695846821406</v>
      </c>
      <c r="I16" s="41">
        <f t="shared" si="10"/>
        <v>140.73965149114952</v>
      </c>
      <c r="J16" s="41">
        <f t="shared" si="0"/>
        <v>88.292361732901696</v>
      </c>
      <c r="K16" s="41">
        <f t="shared" si="1"/>
        <v>20.560878848405537</v>
      </c>
      <c r="L16" s="43">
        <f t="shared" si="11"/>
        <v>67.73148288449616</v>
      </c>
      <c r="M16" s="44">
        <f t="shared" si="12"/>
        <v>0.21708808616825692</v>
      </c>
      <c r="N16" s="349"/>
      <c r="O16" s="338">
        <f t="shared" si="13"/>
        <v>280.66808000000003</v>
      </c>
      <c r="P16" s="350">
        <f t="shared" si="14"/>
        <v>211.93304000000001</v>
      </c>
      <c r="Q16" s="44">
        <f t="shared" si="15"/>
        <v>0.5806384657534247</v>
      </c>
      <c r="R16" s="44"/>
      <c r="S16" s="309" t="s">
        <v>36</v>
      </c>
      <c r="T16" s="351">
        <v>71599</v>
      </c>
      <c r="U16" s="352">
        <f t="shared" si="16"/>
        <v>196.16164383561645</v>
      </c>
      <c r="V16" s="353">
        <f t="shared" si="17"/>
        <v>1.0868859008891944E-2</v>
      </c>
      <c r="W16" s="354">
        <v>20</v>
      </c>
      <c r="X16" s="355">
        <f t="shared" si="18"/>
        <v>3.770992366412214</v>
      </c>
      <c r="Y16" s="355">
        <f t="shared" si="19"/>
        <v>16.229007633587784</v>
      </c>
      <c r="Z16" s="356">
        <f t="shared" si="20"/>
        <v>5.2016050107653151E-2</v>
      </c>
      <c r="AA16" s="44">
        <f t="shared" si="21"/>
        <v>7.4653435114503813E-2</v>
      </c>
      <c r="AB16" s="357">
        <f t="shared" si="22"/>
        <v>2.3927383049520453E-4</v>
      </c>
      <c r="AC16" s="342"/>
      <c r="AD16" s="345">
        <v>70</v>
      </c>
      <c r="AE16" s="41">
        <f t="shared" si="23"/>
        <v>7.0350000000000001</v>
      </c>
      <c r="AF16" s="41">
        <f t="shared" si="24"/>
        <v>2.2964818647206187</v>
      </c>
      <c r="AG16" s="43">
        <f t="shared" si="25"/>
        <v>4.7385181352793815</v>
      </c>
      <c r="AH16" s="44">
        <f t="shared" si="26"/>
        <v>1.8225069751074543E-2</v>
      </c>
      <c r="AI16" s="317"/>
      <c r="AJ16" s="338">
        <f t="shared" si="27"/>
        <v>3.8699259500000003</v>
      </c>
      <c r="AK16" s="338">
        <f t="shared" si="28"/>
        <v>39.286371299999999</v>
      </c>
      <c r="AL16" s="339">
        <f t="shared" si="2"/>
        <v>43.156297250000001</v>
      </c>
      <c r="AM16" s="340">
        <v>0</v>
      </c>
      <c r="AN16" s="339">
        <f t="shared" si="29"/>
        <v>0</v>
      </c>
      <c r="AO16" s="339">
        <f t="shared" si="30"/>
        <v>43.156297250000001</v>
      </c>
      <c r="AP16" s="341">
        <f t="shared" si="31"/>
        <v>0.13832146554487179</v>
      </c>
      <c r="AQ16" s="342"/>
      <c r="AR16" s="43">
        <f t="shared" si="32"/>
        <v>327.63399170489009</v>
      </c>
      <c r="AS16" s="44">
        <f t="shared" si="3"/>
        <v>0.9545123610481232</v>
      </c>
    </row>
    <row r="17" spans="1:45" ht="20.100000000000001" customHeight="1">
      <c r="A17" s="309" t="s">
        <v>37</v>
      </c>
      <c r="B17" s="345">
        <v>10814</v>
      </c>
      <c r="C17" s="346">
        <f t="shared" si="4"/>
        <v>9.3102142020800333E-2</v>
      </c>
      <c r="D17" s="347">
        <f t="shared" si="5"/>
        <v>35386.727649975895</v>
      </c>
      <c r="E17" s="348">
        <f t="shared" si="6"/>
        <v>113.41899887812787</v>
      </c>
      <c r="F17" s="41">
        <f t="shared" si="7"/>
        <v>760.36519388387626</v>
      </c>
      <c r="G17" s="41">
        <f t="shared" si="8"/>
        <v>441.01553653832906</v>
      </c>
      <c r="H17" s="41">
        <f t="shared" si="9"/>
        <v>96.593472346580342</v>
      </c>
      <c r="I17" s="41">
        <f t="shared" si="10"/>
        <v>856.95866623045663</v>
      </c>
      <c r="J17" s="41">
        <f t="shared" si="0"/>
        <v>537.60900888490937</v>
      </c>
      <c r="K17" s="41">
        <f t="shared" si="1"/>
        <v>125.19445037537021</v>
      </c>
      <c r="L17" s="43">
        <f t="shared" si="11"/>
        <v>412.41455850953918</v>
      </c>
      <c r="M17" s="44">
        <f t="shared" si="12"/>
        <v>1.3218415336844205</v>
      </c>
      <c r="N17" s="349"/>
      <c r="O17" s="338">
        <f t="shared" si="13"/>
        <v>1818.0293599999998</v>
      </c>
      <c r="P17" s="350">
        <f t="shared" si="14"/>
        <v>1372.7976799999999</v>
      </c>
      <c r="Q17" s="44">
        <f t="shared" si="15"/>
        <v>3.7610895342465751</v>
      </c>
      <c r="R17" s="44"/>
      <c r="S17" s="309" t="s">
        <v>37</v>
      </c>
      <c r="T17" s="351">
        <v>463783</v>
      </c>
      <c r="U17" s="352">
        <f t="shared" si="16"/>
        <v>1270.6383561643836</v>
      </c>
      <c r="V17" s="353">
        <f t="shared" si="17"/>
        <v>7.040310671546994E-2</v>
      </c>
      <c r="W17" s="354">
        <v>183</v>
      </c>
      <c r="X17" s="355">
        <f t="shared" si="18"/>
        <v>34.504580152671757</v>
      </c>
      <c r="Y17" s="355">
        <f t="shared" si="19"/>
        <v>148.49541984732824</v>
      </c>
      <c r="Z17" s="356">
        <f t="shared" si="20"/>
        <v>0.47594685848502638</v>
      </c>
      <c r="AA17" s="44">
        <f t="shared" si="21"/>
        <v>0.6830789312977098</v>
      </c>
      <c r="AB17" s="357">
        <f t="shared" si="22"/>
        <v>2.1893555490311209E-3</v>
      </c>
      <c r="AC17" s="342"/>
      <c r="AD17" s="345">
        <v>3084</v>
      </c>
      <c r="AE17" s="41">
        <f t="shared" si="23"/>
        <v>309.94200000000001</v>
      </c>
      <c r="AF17" s="41">
        <f t="shared" si="24"/>
        <v>101.1764295828341</v>
      </c>
      <c r="AG17" s="43">
        <f t="shared" si="25"/>
        <v>208.76557041716592</v>
      </c>
      <c r="AH17" s="44">
        <f t="shared" si="26"/>
        <v>0.80294450160448427</v>
      </c>
      <c r="AI17" s="317"/>
      <c r="AJ17" s="338">
        <f t="shared" si="27"/>
        <v>25.067471150000003</v>
      </c>
      <c r="AK17" s="338">
        <f t="shared" si="28"/>
        <v>254.4777321</v>
      </c>
      <c r="AL17" s="339">
        <f t="shared" si="2"/>
        <v>279.54520324999999</v>
      </c>
      <c r="AM17" s="340">
        <v>1084</v>
      </c>
      <c r="AN17" s="339">
        <f t="shared" si="29"/>
        <v>65.368317168623449</v>
      </c>
      <c r="AO17" s="339">
        <f t="shared" si="30"/>
        <v>214.17688608137655</v>
      </c>
      <c r="AP17" s="341">
        <f t="shared" si="31"/>
        <v>0.68646437846595043</v>
      </c>
      <c r="AQ17" s="342"/>
      <c r="AR17" s="43">
        <f t="shared" si="32"/>
        <v>2208.8377739393791</v>
      </c>
      <c r="AS17" s="44">
        <f t="shared" si="3"/>
        <v>6.5745293035504613</v>
      </c>
    </row>
    <row r="18" spans="1:45" ht="20.100000000000001" customHeight="1">
      <c r="A18" s="309" t="s">
        <v>38</v>
      </c>
      <c r="B18" s="345">
        <v>1229</v>
      </c>
      <c r="C18" s="346">
        <f t="shared" si="4"/>
        <v>1.0580962876231146E-2</v>
      </c>
      <c r="D18" s="347">
        <f t="shared" si="5"/>
        <v>4021.6652748123151</v>
      </c>
      <c r="E18" s="348">
        <f t="shared" si="6"/>
        <v>12.889952803885626</v>
      </c>
      <c r="F18" s="41">
        <f t="shared" si="7"/>
        <v>86.414723810179765</v>
      </c>
      <c r="G18" s="41">
        <f t="shared" si="8"/>
        <v>50.120963048419313</v>
      </c>
      <c r="H18" s="41">
        <f t="shared" si="9"/>
        <v>10.977748984089814</v>
      </c>
      <c r="I18" s="41">
        <f t="shared" si="10"/>
        <v>97.39247279426958</v>
      </c>
      <c r="J18" s="41">
        <f t="shared" si="0"/>
        <v>61.098712032509127</v>
      </c>
      <c r="K18" s="41">
        <f t="shared" si="1"/>
        <v>14.228220779668023</v>
      </c>
      <c r="L18" s="43">
        <f t="shared" si="11"/>
        <v>46.870491252841106</v>
      </c>
      <c r="M18" s="44">
        <f t="shared" si="12"/>
        <v>0.15022593350269586</v>
      </c>
      <c r="N18" s="349"/>
      <c r="O18" s="338">
        <f t="shared" si="13"/>
        <v>618.66224</v>
      </c>
      <c r="P18" s="350">
        <f t="shared" si="14"/>
        <v>467.15312</v>
      </c>
      <c r="Q18" s="44">
        <f t="shared" si="15"/>
        <v>1.2798715616438356</v>
      </c>
      <c r="R18" s="44"/>
      <c r="S18" s="309" t="s">
        <v>38</v>
      </c>
      <c r="T18" s="351">
        <v>157822</v>
      </c>
      <c r="U18" s="352">
        <f t="shared" si="16"/>
        <v>432.38904109589043</v>
      </c>
      <c r="V18" s="353">
        <f t="shared" si="17"/>
        <v>2.3957667935325135E-2</v>
      </c>
      <c r="W18" s="354">
        <v>22</v>
      </c>
      <c r="X18" s="355">
        <f t="shared" si="18"/>
        <v>4.1480916030534347</v>
      </c>
      <c r="Y18" s="355">
        <f t="shared" si="19"/>
        <v>17.851908396946566</v>
      </c>
      <c r="Z18" s="356">
        <f t="shared" si="20"/>
        <v>5.7217655118418483E-2</v>
      </c>
      <c r="AA18" s="44">
        <f t="shared" si="21"/>
        <v>8.2118778625954195E-2</v>
      </c>
      <c r="AB18" s="357">
        <f t="shared" si="22"/>
        <v>2.63201213544725E-4</v>
      </c>
      <c r="AC18" s="342"/>
      <c r="AD18" s="345">
        <v>453</v>
      </c>
      <c r="AE18" s="41">
        <f t="shared" si="23"/>
        <v>45.526499999999999</v>
      </c>
      <c r="AF18" s="41">
        <f t="shared" si="24"/>
        <v>14.861518353120575</v>
      </c>
      <c r="AG18" s="43">
        <f t="shared" si="25"/>
        <v>30.664981646879426</v>
      </c>
      <c r="AH18" s="44">
        <f t="shared" si="26"/>
        <v>0.11794223710338241</v>
      </c>
      <c r="AI18" s="317"/>
      <c r="AJ18" s="338">
        <f t="shared" si="27"/>
        <v>8.5302790999999996</v>
      </c>
      <c r="AK18" s="338">
        <f t="shared" si="28"/>
        <v>86.596931400000003</v>
      </c>
      <c r="AL18" s="339">
        <f t="shared" si="2"/>
        <v>95.127210500000004</v>
      </c>
      <c r="AM18" s="340">
        <v>240</v>
      </c>
      <c r="AN18" s="339">
        <f t="shared" si="29"/>
        <v>14.47269014803471</v>
      </c>
      <c r="AO18" s="339">
        <f t="shared" si="30"/>
        <v>80.654520351965289</v>
      </c>
      <c r="AP18" s="341">
        <f t="shared" si="31"/>
        <v>0.25850807805117082</v>
      </c>
      <c r="AQ18" s="342"/>
      <c r="AR18" s="43">
        <f t="shared" si="32"/>
        <v>625.4252320303118</v>
      </c>
      <c r="AS18" s="44">
        <f t="shared" si="3"/>
        <v>1.8068110115146294</v>
      </c>
    </row>
    <row r="19" spans="1:45" ht="20.100000000000001" customHeight="1">
      <c r="A19" s="309" t="s">
        <v>39</v>
      </c>
      <c r="B19" s="345">
        <v>34403</v>
      </c>
      <c r="C19" s="346">
        <f t="shared" si="4"/>
        <v>0.29618947585921895</v>
      </c>
      <c r="D19" s="347">
        <f t="shared" si="5"/>
        <v>112577.17693195124</v>
      </c>
      <c r="E19" s="348">
        <f t="shared" si="6"/>
        <v>360.82428503830528</v>
      </c>
      <c r="F19" s="41">
        <f t="shared" si="7"/>
        <v>2418.979449342241</v>
      </c>
      <c r="G19" s="41">
        <f t="shared" si="8"/>
        <v>1403.0199281975342</v>
      </c>
      <c r="H19" s="41">
        <f t="shared" si="9"/>
        <v>307.29658120393964</v>
      </c>
      <c r="I19" s="41">
        <f t="shared" si="10"/>
        <v>2726.2760305461807</v>
      </c>
      <c r="J19" s="41">
        <f t="shared" si="0"/>
        <v>1710.3165094014739</v>
      </c>
      <c r="K19" s="41">
        <f t="shared" si="1"/>
        <v>398.28598818789175</v>
      </c>
      <c r="L19" s="43">
        <f t="shared" si="11"/>
        <v>1312.0305212135822</v>
      </c>
      <c r="M19" s="44">
        <f t="shared" si="12"/>
        <v>4.2052260295307127</v>
      </c>
      <c r="N19" s="349"/>
      <c r="O19" s="338">
        <f t="shared" si="13"/>
        <v>5951.2303200000006</v>
      </c>
      <c r="P19" s="350">
        <f t="shared" si="14"/>
        <v>4493.7861600000006</v>
      </c>
      <c r="Q19" s="44">
        <f t="shared" si="15"/>
        <v>12.311742904109591</v>
      </c>
      <c r="R19" s="44"/>
      <c r="S19" s="309" t="s">
        <v>39</v>
      </c>
      <c r="T19" s="351">
        <v>1518171</v>
      </c>
      <c r="U19" s="352">
        <f t="shared" si="16"/>
        <v>4159.3726027397261</v>
      </c>
      <c r="V19" s="353">
        <f t="shared" si="17"/>
        <v>0.23046113144580918</v>
      </c>
      <c r="W19" s="354">
        <v>1284</v>
      </c>
      <c r="X19" s="355">
        <f t="shared" si="18"/>
        <v>242.0977099236641</v>
      </c>
      <c r="Y19" s="355">
        <f t="shared" si="19"/>
        <v>1041.9022900763359</v>
      </c>
      <c r="Z19" s="356">
        <f t="shared" si="20"/>
        <v>3.3394304169113331</v>
      </c>
      <c r="AA19" s="44">
        <f t="shared" si="21"/>
        <v>4.7927505343511445</v>
      </c>
      <c r="AB19" s="357">
        <f t="shared" si="22"/>
        <v>1.536137991779213E-2</v>
      </c>
      <c r="AC19" s="342"/>
      <c r="AD19" s="345">
        <v>3361</v>
      </c>
      <c r="AE19" s="41">
        <f t="shared" si="23"/>
        <v>337.78050000000002</v>
      </c>
      <c r="AF19" s="41">
        <f t="shared" si="24"/>
        <v>110.26393639037141</v>
      </c>
      <c r="AG19" s="43">
        <f t="shared" si="25"/>
        <v>227.51656360962861</v>
      </c>
      <c r="AH19" s="44">
        <f t="shared" si="26"/>
        <v>0.87506370619087925</v>
      </c>
      <c r="AI19" s="317"/>
      <c r="AJ19" s="338">
        <f t="shared" si="27"/>
        <v>82.057142550000009</v>
      </c>
      <c r="AK19" s="338">
        <f t="shared" si="28"/>
        <v>833.02042770000003</v>
      </c>
      <c r="AL19" s="339">
        <f t="shared" si="2"/>
        <v>915.07757025000001</v>
      </c>
      <c r="AM19" s="340">
        <v>936</v>
      </c>
      <c r="AN19" s="339">
        <f t="shared" si="29"/>
        <v>56.443491577335365</v>
      </c>
      <c r="AO19" s="339">
        <f t="shared" si="30"/>
        <v>858.6340786726646</v>
      </c>
      <c r="AP19" s="341">
        <f t="shared" si="31"/>
        <v>2.7520323034380274</v>
      </c>
      <c r="AQ19" s="342"/>
      <c r="AR19" s="43">
        <f t="shared" si="32"/>
        <v>6896.7600740302278</v>
      </c>
      <c r="AS19" s="44">
        <f t="shared" si="3"/>
        <v>20.159426323187002</v>
      </c>
    </row>
    <row r="20" spans="1:45" ht="20.100000000000001" customHeight="1">
      <c r="A20" s="309" t="s">
        <v>40</v>
      </c>
      <c r="B20" s="345">
        <v>0</v>
      </c>
      <c r="C20" s="346">
        <f t="shared" si="4"/>
        <v>0</v>
      </c>
      <c r="D20" s="347">
        <f t="shared" si="5"/>
        <v>0</v>
      </c>
      <c r="E20" s="348">
        <f t="shared" si="6"/>
        <v>0</v>
      </c>
      <c r="F20" s="41">
        <f t="shared" si="7"/>
        <v>0</v>
      </c>
      <c r="G20" s="41">
        <f t="shared" si="8"/>
        <v>0</v>
      </c>
      <c r="H20" s="41">
        <f t="shared" si="9"/>
        <v>0</v>
      </c>
      <c r="I20" s="41">
        <f t="shared" si="10"/>
        <v>0</v>
      </c>
      <c r="J20" s="41">
        <f t="shared" si="0"/>
        <v>0</v>
      </c>
      <c r="K20" s="41">
        <f t="shared" si="1"/>
        <v>0</v>
      </c>
      <c r="L20" s="43">
        <f t="shared" si="11"/>
        <v>0</v>
      </c>
      <c r="M20" s="44">
        <f t="shared" si="12"/>
        <v>0</v>
      </c>
      <c r="N20" s="349"/>
      <c r="O20" s="338">
        <f t="shared" si="13"/>
        <v>39.756639999999997</v>
      </c>
      <c r="P20" s="350">
        <f t="shared" si="14"/>
        <v>30.020319999999998</v>
      </c>
      <c r="Q20" s="44">
        <f t="shared" si="15"/>
        <v>8.2247452054794515E-2</v>
      </c>
      <c r="R20" s="44"/>
      <c r="S20" s="309" t="s">
        <v>40</v>
      </c>
      <c r="T20" s="351">
        <v>10142</v>
      </c>
      <c r="U20" s="352">
        <f t="shared" si="16"/>
        <v>27.786301369863015</v>
      </c>
      <c r="V20" s="353">
        <f t="shared" si="17"/>
        <v>1.5395741290825584E-3</v>
      </c>
      <c r="W20" s="354">
        <v>0</v>
      </c>
      <c r="X20" s="355">
        <f t="shared" si="18"/>
        <v>0</v>
      </c>
      <c r="Y20" s="355">
        <f t="shared" si="19"/>
        <v>0</v>
      </c>
      <c r="Z20" s="356">
        <f t="shared" si="20"/>
        <v>0</v>
      </c>
      <c r="AA20" s="44">
        <f t="shared" si="21"/>
        <v>0</v>
      </c>
      <c r="AB20" s="357">
        <f t="shared" si="22"/>
        <v>0</v>
      </c>
      <c r="AC20" s="342"/>
      <c r="AD20" s="345">
        <v>10</v>
      </c>
      <c r="AE20" s="41">
        <f t="shared" si="23"/>
        <v>1.0049999999999999</v>
      </c>
      <c r="AF20" s="41">
        <f t="shared" si="24"/>
        <v>0.32806883781723123</v>
      </c>
      <c r="AG20" s="43">
        <f t="shared" si="25"/>
        <v>0.67693116218276872</v>
      </c>
      <c r="AH20" s="44">
        <f t="shared" si="26"/>
        <v>2.603581393010649E-3</v>
      </c>
      <c r="AI20" s="317"/>
      <c r="AJ20" s="338">
        <f t="shared" si="27"/>
        <v>0.54817510000000003</v>
      </c>
      <c r="AK20" s="338">
        <f t="shared" si="28"/>
        <v>5.5649154000000003</v>
      </c>
      <c r="AL20" s="339">
        <f t="shared" si="2"/>
        <v>6.1130905000000002</v>
      </c>
      <c r="AM20" s="340">
        <v>0</v>
      </c>
      <c r="AN20" s="339">
        <f t="shared" si="29"/>
        <v>0</v>
      </c>
      <c r="AO20" s="339">
        <f t="shared" si="30"/>
        <v>6.1130905000000002</v>
      </c>
      <c r="AP20" s="341">
        <f t="shared" si="31"/>
        <v>1.9593238782051284E-2</v>
      </c>
      <c r="AQ20" s="342"/>
      <c r="AR20" s="43">
        <f t="shared" si="32"/>
        <v>36.810341662182765</v>
      </c>
      <c r="AS20" s="44">
        <f t="shared" si="3"/>
        <v>0.10444427222985644</v>
      </c>
    </row>
    <row r="21" spans="1:45" ht="20.100000000000001" customHeight="1">
      <c r="A21" s="309" t="s">
        <v>41</v>
      </c>
      <c r="B21" s="345">
        <v>11098</v>
      </c>
      <c r="C21" s="346">
        <f t="shared" si="4"/>
        <v>9.5547213995454239E-2</v>
      </c>
      <c r="D21" s="347">
        <f t="shared" si="5"/>
        <v>36316.062831462223</v>
      </c>
      <c r="E21" s="348">
        <f t="shared" si="6"/>
        <v>116.39763728032764</v>
      </c>
      <c r="F21" s="41">
        <f t="shared" si="7"/>
        <v>780.33409670087474</v>
      </c>
      <c r="G21" s="41">
        <f t="shared" si="8"/>
        <v>452.59759797506717</v>
      </c>
      <c r="H21" s="41">
        <f t="shared" si="9"/>
        <v>99.130234520283778</v>
      </c>
      <c r="I21" s="41">
        <f t="shared" si="10"/>
        <v>879.46433122115855</v>
      </c>
      <c r="J21" s="41">
        <f t="shared" si="0"/>
        <v>551.72783249535098</v>
      </c>
      <c r="K21" s="41">
        <f t="shared" si="1"/>
        <v>128.48233865968731</v>
      </c>
      <c r="L21" s="43">
        <f t="shared" si="11"/>
        <v>423.24549383566364</v>
      </c>
      <c r="M21" s="44">
        <f t="shared" si="12"/>
        <v>1.3565560699861015</v>
      </c>
      <c r="N21" s="349"/>
      <c r="O21" s="338">
        <f t="shared" si="13"/>
        <v>2647.70912</v>
      </c>
      <c r="P21" s="350">
        <f t="shared" si="14"/>
        <v>1999.2905600000001</v>
      </c>
      <c r="Q21" s="44">
        <f t="shared" si="15"/>
        <v>5.477508383561644</v>
      </c>
      <c r="R21" s="44"/>
      <c r="S21" s="309" t="s">
        <v>41</v>
      </c>
      <c r="T21" s="351">
        <v>675436</v>
      </c>
      <c r="U21" s="352">
        <f t="shared" si="16"/>
        <v>1850.509589041096</v>
      </c>
      <c r="V21" s="353">
        <f t="shared" si="17"/>
        <v>0.10253241879816671</v>
      </c>
      <c r="W21" s="354">
        <v>547</v>
      </c>
      <c r="X21" s="355">
        <f t="shared" si="18"/>
        <v>103.13664122137405</v>
      </c>
      <c r="Y21" s="355">
        <f t="shared" si="19"/>
        <v>443.86335877862598</v>
      </c>
      <c r="Z21" s="356">
        <f t="shared" si="20"/>
        <v>1.4226389704443141</v>
      </c>
      <c r="AA21" s="44">
        <f t="shared" si="21"/>
        <v>2.0417714503816793</v>
      </c>
      <c r="AB21" s="357">
        <f t="shared" si="22"/>
        <v>6.5441392640438441E-3</v>
      </c>
      <c r="AC21" s="342"/>
      <c r="AD21" s="345">
        <v>1673</v>
      </c>
      <c r="AE21" s="41">
        <f t="shared" si="23"/>
        <v>168.13650000000001</v>
      </c>
      <c r="AF21" s="41">
        <f t="shared" si="24"/>
        <v>54.885916566822779</v>
      </c>
      <c r="AG21" s="43">
        <f t="shared" si="25"/>
        <v>113.25058343317724</v>
      </c>
      <c r="AH21" s="44">
        <f t="shared" si="26"/>
        <v>0.43557916705068167</v>
      </c>
      <c r="AI21" s="317"/>
      <c r="AJ21" s="338">
        <f t="shared" si="27"/>
        <v>36.507315800000001</v>
      </c>
      <c r="AK21" s="338">
        <f t="shared" si="28"/>
        <v>370.61173319999995</v>
      </c>
      <c r="AL21" s="339">
        <f t="shared" si="2"/>
        <v>407.11904899999996</v>
      </c>
      <c r="AM21" s="340">
        <v>725</v>
      </c>
      <c r="AN21" s="339">
        <f t="shared" si="29"/>
        <v>43.719584822188189</v>
      </c>
      <c r="AO21" s="339">
        <f t="shared" si="30"/>
        <v>363.39946417781175</v>
      </c>
      <c r="AP21" s="341">
        <f t="shared" si="31"/>
        <v>1.1647418723647813</v>
      </c>
      <c r="AQ21" s="342"/>
      <c r="AR21" s="43">
        <f t="shared" si="32"/>
        <v>2901.2278728970346</v>
      </c>
      <c r="AS21" s="44">
        <f t="shared" si="3"/>
        <v>8.4409296322272525</v>
      </c>
    </row>
    <row r="22" spans="1:45" ht="20.100000000000001" customHeight="1">
      <c r="A22" s="309" t="s">
        <v>42</v>
      </c>
      <c r="B22" s="345">
        <v>4351</v>
      </c>
      <c r="C22" s="346">
        <f t="shared" si="4"/>
        <v>3.7459535780701152E-2</v>
      </c>
      <c r="D22" s="347">
        <f t="shared" si="5"/>
        <v>14237.807657207797</v>
      </c>
      <c r="E22" s="348">
        <f t="shared" si="6"/>
        <v>45.633998901307045</v>
      </c>
      <c r="F22" s="41">
        <f t="shared" si="7"/>
        <v>305.9320287209863</v>
      </c>
      <c r="G22" s="41">
        <f t="shared" si="8"/>
        <v>177.44207503960328</v>
      </c>
      <c r="H22" s="41">
        <f t="shared" si="9"/>
        <v>38.864268372477447</v>
      </c>
      <c r="I22" s="41">
        <f t="shared" si="10"/>
        <v>344.79629709346375</v>
      </c>
      <c r="J22" s="41">
        <f t="shared" si="0"/>
        <v>216.30634341208074</v>
      </c>
      <c r="K22" s="41">
        <f t="shared" si="1"/>
        <v>50.371837764308843</v>
      </c>
      <c r="L22" s="43">
        <f t="shared" si="11"/>
        <v>165.93450564777189</v>
      </c>
      <c r="M22" s="44">
        <f t="shared" si="12"/>
        <v>0.53184136425567907</v>
      </c>
      <c r="N22" s="349"/>
      <c r="O22" s="338">
        <f t="shared" si="13"/>
        <v>1950.5096799999999</v>
      </c>
      <c r="P22" s="350">
        <f t="shared" si="14"/>
        <v>1472.83384</v>
      </c>
      <c r="Q22" s="44">
        <f t="shared" si="15"/>
        <v>4.0351612054794517</v>
      </c>
      <c r="R22" s="44"/>
      <c r="S22" s="309" t="s">
        <v>42</v>
      </c>
      <c r="T22" s="351">
        <v>497579</v>
      </c>
      <c r="U22" s="352">
        <f t="shared" si="16"/>
        <v>1363.2301369863014</v>
      </c>
      <c r="V22" s="353">
        <f t="shared" si="17"/>
        <v>7.5533401259590835E-2</v>
      </c>
      <c r="W22" s="354">
        <v>426</v>
      </c>
      <c r="X22" s="355">
        <f t="shared" si="18"/>
        <v>80.322137404580147</v>
      </c>
      <c r="Y22" s="355">
        <f t="shared" si="19"/>
        <v>345.67786259541987</v>
      </c>
      <c r="Z22" s="356">
        <f t="shared" si="20"/>
        <v>1.1079418672930124</v>
      </c>
      <c r="AA22" s="44">
        <f t="shared" si="21"/>
        <v>1.5901181679389313</v>
      </c>
      <c r="AB22" s="357">
        <f t="shared" si="22"/>
        <v>5.0965325895478567E-3</v>
      </c>
      <c r="AC22" s="342"/>
      <c r="AD22" s="345">
        <v>1330</v>
      </c>
      <c r="AE22" s="41">
        <f t="shared" si="23"/>
        <v>133.66499999999999</v>
      </c>
      <c r="AF22" s="41">
        <f t="shared" si="24"/>
        <v>43.633155429691747</v>
      </c>
      <c r="AG22" s="43">
        <f t="shared" si="25"/>
        <v>90.031844570308238</v>
      </c>
      <c r="AH22" s="44">
        <f t="shared" si="26"/>
        <v>0.3462763252704163</v>
      </c>
      <c r="AI22" s="317"/>
      <c r="AJ22" s="338">
        <f t="shared" si="27"/>
        <v>26.894144950000001</v>
      </c>
      <c r="AK22" s="338">
        <f t="shared" si="28"/>
        <v>273.02159729999994</v>
      </c>
      <c r="AL22" s="339">
        <f t="shared" si="2"/>
        <v>299.91574224999994</v>
      </c>
      <c r="AM22" s="340">
        <v>605</v>
      </c>
      <c r="AN22" s="339">
        <f t="shared" si="29"/>
        <v>36.483239748170831</v>
      </c>
      <c r="AO22" s="339">
        <f t="shared" si="30"/>
        <v>263.43250250182911</v>
      </c>
      <c r="AP22" s="341">
        <f t="shared" si="31"/>
        <v>0.84433494391611896</v>
      </c>
      <c r="AQ22" s="342"/>
      <c r="AR22" s="43">
        <f t="shared" si="32"/>
        <v>1993.8228108878482</v>
      </c>
      <c r="AS22" s="44">
        <f t="shared" si="3"/>
        <v>5.7627103715112131</v>
      </c>
    </row>
    <row r="23" spans="1:45" ht="20.100000000000001" customHeight="1">
      <c r="A23" s="309" t="s">
        <v>43</v>
      </c>
      <c r="B23" s="345">
        <v>1791</v>
      </c>
      <c r="C23" s="346">
        <f t="shared" si="4"/>
        <v>1.5419450375370205E-2</v>
      </c>
      <c r="D23" s="347">
        <f t="shared" si="5"/>
        <v>5860.7017959225841</v>
      </c>
      <c r="E23" s="348">
        <f t="shared" si="6"/>
        <v>18.784300627957002</v>
      </c>
      <c r="F23" s="41">
        <f t="shared" si="7"/>
        <v>125.93065121564847</v>
      </c>
      <c r="G23" s="41">
        <f t="shared" si="8"/>
        <v>73.04039448309112</v>
      </c>
      <c r="H23" s="41">
        <f t="shared" si="9"/>
        <v>15.997679764446588</v>
      </c>
      <c r="I23" s="41">
        <f t="shared" si="10"/>
        <v>141.92833098009504</v>
      </c>
      <c r="J23" s="41">
        <f t="shared" si="0"/>
        <v>89.038074247537708</v>
      </c>
      <c r="K23" s="41">
        <f t="shared" si="1"/>
        <v>20.734534919760314</v>
      </c>
      <c r="L23" s="43">
        <f t="shared" si="11"/>
        <v>68.303539327777401</v>
      </c>
      <c r="M23" s="44">
        <f t="shared" si="12"/>
        <v>0.21892160040954295</v>
      </c>
      <c r="N23" s="349"/>
      <c r="O23" s="338">
        <f t="shared" si="13"/>
        <v>2865.25344</v>
      </c>
      <c r="P23" s="350">
        <f t="shared" si="14"/>
        <v>2163.55872</v>
      </c>
      <c r="Q23" s="44">
        <f t="shared" si="15"/>
        <v>5.9275581369863017</v>
      </c>
      <c r="R23" s="44"/>
      <c r="S23" s="309" t="s">
        <v>43</v>
      </c>
      <c r="T23" s="351">
        <v>730932</v>
      </c>
      <c r="U23" s="352">
        <f t="shared" si="16"/>
        <v>2002.5534246575342</v>
      </c>
      <c r="V23" s="353">
        <f t="shared" si="17"/>
        <v>0.11095681298743566</v>
      </c>
      <c r="W23" s="354">
        <v>414</v>
      </c>
      <c r="X23" s="355">
        <f t="shared" si="18"/>
        <v>78.059541984732817</v>
      </c>
      <c r="Y23" s="355">
        <f t="shared" si="19"/>
        <v>335.94045801526715</v>
      </c>
      <c r="Z23" s="356">
        <f t="shared" si="20"/>
        <v>1.0767322372284203</v>
      </c>
      <c r="AA23" s="44">
        <f t="shared" si="21"/>
        <v>1.5453261068702289</v>
      </c>
      <c r="AB23" s="357">
        <f t="shared" si="22"/>
        <v>4.9529682912507339E-3</v>
      </c>
      <c r="AC23" s="342"/>
      <c r="AD23" s="345">
        <v>786</v>
      </c>
      <c r="AE23" s="41">
        <f t="shared" si="23"/>
        <v>78.992999999999995</v>
      </c>
      <c r="AF23" s="41">
        <f t="shared" si="24"/>
        <v>25.786210652434374</v>
      </c>
      <c r="AG23" s="43">
        <f t="shared" si="25"/>
        <v>53.206789347565618</v>
      </c>
      <c r="AH23" s="44">
        <f t="shared" si="26"/>
        <v>0.20464149749063698</v>
      </c>
      <c r="AI23" s="317"/>
      <c r="AJ23" s="338">
        <f t="shared" si="27"/>
        <v>39.506874600000003</v>
      </c>
      <c r="AK23" s="338">
        <f t="shared" si="28"/>
        <v>401.06238839999997</v>
      </c>
      <c r="AL23" s="339">
        <f t="shared" si="2"/>
        <v>440.56926299999998</v>
      </c>
      <c r="AM23" s="340">
        <v>65</v>
      </c>
      <c r="AN23" s="339">
        <f t="shared" si="29"/>
        <v>3.919686915092734</v>
      </c>
      <c r="AO23" s="339">
        <f t="shared" si="30"/>
        <v>436.64957608490727</v>
      </c>
      <c r="AP23" s="341">
        <f t="shared" si="31"/>
        <v>1.3995178720670105</v>
      </c>
      <c r="AQ23" s="342"/>
      <c r="AR23" s="43">
        <f t="shared" si="32"/>
        <v>2723.26395086712</v>
      </c>
      <c r="AS23" s="44">
        <f t="shared" si="3"/>
        <v>7.755592075244742</v>
      </c>
    </row>
    <row r="24" spans="1:45" ht="20.100000000000001" customHeight="1">
      <c r="A24" s="309" t="s">
        <v>44</v>
      </c>
      <c r="B24" s="345">
        <v>13689</v>
      </c>
      <c r="C24" s="346">
        <f t="shared" si="4"/>
        <v>0.11785419105999036</v>
      </c>
      <c r="D24" s="347">
        <f t="shared" si="5"/>
        <v>44794.610209036437</v>
      </c>
      <c r="E24" s="348">
        <f t="shared" si="6"/>
        <v>143.57246861870652</v>
      </c>
      <c r="F24" s="41">
        <f t="shared" si="7"/>
        <v>962.51517838694122</v>
      </c>
      <c r="G24" s="41">
        <f t="shared" si="8"/>
        <v>558.26351763206833</v>
      </c>
      <c r="H24" s="41">
        <f t="shared" si="9"/>
        <v>122.27372322474</v>
      </c>
      <c r="I24" s="41">
        <f t="shared" si="10"/>
        <v>1084.7889016116812</v>
      </c>
      <c r="J24" s="41">
        <f t="shared" si="0"/>
        <v>680.53724085680835</v>
      </c>
      <c r="K24" s="41">
        <f t="shared" si="1"/>
        <v>158.47853071836903</v>
      </c>
      <c r="L24" s="43">
        <f t="shared" si="11"/>
        <v>522.05871013843932</v>
      </c>
      <c r="M24" s="44">
        <f t="shared" si="12"/>
        <v>1.673265096597562</v>
      </c>
      <c r="N24" s="349"/>
      <c r="O24" s="338">
        <f t="shared" si="13"/>
        <v>3140.8098399999999</v>
      </c>
      <c r="P24" s="350">
        <f t="shared" si="14"/>
        <v>2371.6319199999998</v>
      </c>
      <c r="Q24" s="44">
        <f t="shared" si="15"/>
        <v>6.4976216986301365</v>
      </c>
      <c r="R24" s="44"/>
      <c r="S24" s="309" t="s">
        <v>45</v>
      </c>
      <c r="T24" s="351">
        <v>801227</v>
      </c>
      <c r="U24" s="352">
        <f t="shared" si="16"/>
        <v>2195.1424657534249</v>
      </c>
      <c r="V24" s="353">
        <f t="shared" si="17"/>
        <v>0.1216277224139648</v>
      </c>
      <c r="W24" s="354">
        <v>217</v>
      </c>
      <c r="X24" s="355">
        <f t="shared" si="18"/>
        <v>40.915267175572517</v>
      </c>
      <c r="Y24" s="355">
        <f t="shared" si="19"/>
        <v>176.08473282442748</v>
      </c>
      <c r="Z24" s="356">
        <f t="shared" si="20"/>
        <v>0.56437414366803673</v>
      </c>
      <c r="AA24" s="44">
        <f t="shared" si="21"/>
        <v>0.80998977099236624</v>
      </c>
      <c r="AB24" s="357">
        <f t="shared" si="22"/>
        <v>2.5961210608729688E-3</v>
      </c>
      <c r="AC24" s="342"/>
      <c r="AD24" s="345">
        <v>3579</v>
      </c>
      <c r="AE24" s="41">
        <f t="shared" si="23"/>
        <v>359.68950000000001</v>
      </c>
      <c r="AF24" s="41">
        <f t="shared" si="24"/>
        <v>117.41583705478706</v>
      </c>
      <c r="AG24" s="43">
        <f t="shared" si="25"/>
        <v>242.27366294521295</v>
      </c>
      <c r="AH24" s="44">
        <f t="shared" si="26"/>
        <v>0.93182178055851139</v>
      </c>
      <c r="AI24" s="317"/>
      <c r="AJ24" s="338">
        <f t="shared" si="27"/>
        <v>43.306319349999995</v>
      </c>
      <c r="AK24" s="338">
        <f t="shared" si="28"/>
        <v>439.6332549</v>
      </c>
      <c r="AL24" s="339">
        <f t="shared" si="2"/>
        <v>482.93957424999996</v>
      </c>
      <c r="AM24" s="340">
        <v>980</v>
      </c>
      <c r="AN24" s="339">
        <f t="shared" si="29"/>
        <v>59.096818104475076</v>
      </c>
      <c r="AO24" s="339">
        <f t="shared" si="30"/>
        <v>423.8427561455249</v>
      </c>
      <c r="AP24" s="341">
        <f t="shared" si="31"/>
        <v>1.3584703722612979</v>
      </c>
      <c r="AQ24" s="342"/>
      <c r="AR24" s="43">
        <f t="shared" si="32"/>
        <v>3560.6170390001694</v>
      </c>
      <c r="AS24" s="44">
        <f t="shared" si="3"/>
        <v>10.463775069108381</v>
      </c>
    </row>
    <row r="25" spans="1:45" ht="20.100000000000001" customHeight="1">
      <c r="B25" s="345"/>
      <c r="C25" s="346"/>
      <c r="D25" s="347"/>
      <c r="E25" s="348"/>
      <c r="F25" s="41"/>
      <c r="G25" s="41"/>
      <c r="H25" s="41"/>
      <c r="I25" s="41"/>
      <c r="J25" s="41"/>
      <c r="K25" s="41"/>
      <c r="L25" s="43"/>
      <c r="M25" s="44"/>
      <c r="N25" s="349"/>
      <c r="O25" s="338"/>
      <c r="P25" s="350"/>
      <c r="Q25" s="44"/>
      <c r="R25" s="44"/>
      <c r="U25" s="352"/>
      <c r="V25" s="353"/>
      <c r="W25" s="353"/>
      <c r="X25" s="355"/>
      <c r="Y25" s="355"/>
      <c r="Z25" s="358"/>
      <c r="AA25" s="44"/>
      <c r="AB25" s="357"/>
      <c r="AC25" s="342"/>
      <c r="AD25" s="345"/>
      <c r="AE25" s="41"/>
      <c r="AF25" s="41"/>
      <c r="AG25" s="43"/>
      <c r="AH25" s="44"/>
      <c r="AI25" s="317"/>
      <c r="AJ25" s="338"/>
      <c r="AK25" s="338"/>
      <c r="AL25" s="312"/>
      <c r="AM25" s="42"/>
      <c r="AN25" s="339"/>
      <c r="AO25" s="339"/>
      <c r="AP25" s="341"/>
      <c r="AQ25" s="317"/>
      <c r="AR25" s="43"/>
      <c r="AS25" s="44"/>
    </row>
    <row r="26" spans="1:45" ht="20.100000000000001" customHeight="1">
      <c r="A26" s="312" t="s">
        <v>46</v>
      </c>
      <c r="B26" s="351">
        <f>SUM(B11:B24)</f>
        <v>116152</v>
      </c>
      <c r="C26" s="346">
        <f t="shared" si="4"/>
        <v>1</v>
      </c>
      <c r="D26" s="347">
        <f t="shared" si="5"/>
        <v>380085</v>
      </c>
      <c r="E26" s="348">
        <f t="shared" si="6"/>
        <v>1218.2211538461538</v>
      </c>
      <c r="F26" s="41">
        <f t="shared" si="7"/>
        <v>8167</v>
      </c>
      <c r="G26" s="41">
        <f t="shared" si="8"/>
        <v>4736.8999999999996</v>
      </c>
      <c r="H26" s="41">
        <f t="shared" si="9"/>
        <v>1037.5</v>
      </c>
      <c r="I26" s="41">
        <f t="shared" si="10"/>
        <v>9204.5</v>
      </c>
      <c r="J26" s="41">
        <f>SUM(G26,H26)</f>
        <v>5774.4</v>
      </c>
      <c r="K26" s="41">
        <f>SUM(C26*1344.7)</f>
        <v>1344.7</v>
      </c>
      <c r="L26" s="43">
        <f t="shared" si="11"/>
        <v>4429.7</v>
      </c>
      <c r="M26" s="359">
        <f>SUM(M11:M24)</f>
        <v>14.19775641025641</v>
      </c>
      <c r="N26" s="349"/>
      <c r="O26" s="338">
        <f t="shared" si="13"/>
        <v>25823.14112</v>
      </c>
      <c r="P26" s="350">
        <f t="shared" si="14"/>
        <v>19499.10656</v>
      </c>
      <c r="Q26" s="44">
        <f t="shared" si="15"/>
        <v>53.42220975342466</v>
      </c>
      <c r="R26" s="44"/>
      <c r="S26" s="312" t="s">
        <v>46</v>
      </c>
      <c r="T26" s="351">
        <f>SUM(T11:T24)</f>
        <v>6587536</v>
      </c>
      <c r="U26" s="352">
        <f t="shared" si="16"/>
        <v>18048.043835616438</v>
      </c>
      <c r="V26" s="360">
        <f t="shared" si="17"/>
        <v>1</v>
      </c>
      <c r="W26" s="361">
        <f>SUM(W11:W24)</f>
        <v>3930</v>
      </c>
      <c r="X26" s="355">
        <f t="shared" si="18"/>
        <v>741</v>
      </c>
      <c r="Y26" s="355">
        <f t="shared" si="19"/>
        <v>3189</v>
      </c>
      <c r="Z26" s="358">
        <f>SUM(X26/312)</f>
        <v>2.375</v>
      </c>
      <c r="AA26" s="44">
        <f t="shared" si="21"/>
        <v>14.6694</v>
      </c>
      <c r="AB26" s="357">
        <f t="shared" si="22"/>
        <v>4.7017307692307692E-2</v>
      </c>
      <c r="AC26" s="342"/>
      <c r="AD26" s="362">
        <f>SUM(AD11:AD24)</f>
        <v>18362</v>
      </c>
      <c r="AE26" s="41">
        <f t="shared" si="23"/>
        <v>1845.3810000000001</v>
      </c>
      <c r="AF26" s="41">
        <f t="shared" si="24"/>
        <v>602.4</v>
      </c>
      <c r="AG26" s="43">
        <f t="shared" si="25"/>
        <v>1242.9810000000002</v>
      </c>
      <c r="AH26" s="44">
        <f t="shared" si="26"/>
        <v>4.7806961538461543</v>
      </c>
      <c r="AI26" s="317"/>
      <c r="AJ26" s="338">
        <f t="shared" si="27"/>
        <v>356.05632079999998</v>
      </c>
      <c r="AK26" s="338">
        <f t="shared" si="28"/>
        <v>3614.5810031999995</v>
      </c>
      <c r="AL26" s="350">
        <f>SUM(AL11:AL24)</f>
        <v>3970.6373239999994</v>
      </c>
      <c r="AM26" s="363">
        <f>SUM(AM11:AM24)</f>
        <v>5877</v>
      </c>
      <c r="AN26" s="339">
        <f t="shared" si="29"/>
        <v>354.4</v>
      </c>
      <c r="AO26" s="339">
        <f t="shared" si="30"/>
        <v>3616.2373239999993</v>
      </c>
      <c r="AP26" s="341">
        <f t="shared" si="31"/>
        <v>11.590504243589741</v>
      </c>
      <c r="AQ26" s="364"/>
      <c r="AR26" s="43">
        <f>SUM(L26,AA26,P26,AG26,AO26)</f>
        <v>28802.694283999997</v>
      </c>
      <c r="AS26" s="44">
        <f>SUM(M26,AB26,Q26,AH26,AP26)</f>
        <v>84.038183868809284</v>
      </c>
    </row>
    <row r="27" spans="1:45" ht="20.100000000000001" customHeight="1">
      <c r="B27" s="351"/>
      <c r="C27" s="365"/>
      <c r="D27" s="347"/>
      <c r="E27" s="351">
        <f t="shared" si="6"/>
        <v>0</v>
      </c>
      <c r="F27" s="41"/>
      <c r="G27" s="359"/>
      <c r="H27" s="366">
        <f t="shared" ref="H27:M27" si="33">SUM(H11:H24)</f>
        <v>1037.5</v>
      </c>
      <c r="I27" s="366">
        <f t="shared" si="33"/>
        <v>9204.5</v>
      </c>
      <c r="J27" s="367">
        <f t="shared" si="33"/>
        <v>5774.4000000000005</v>
      </c>
      <c r="K27" s="367"/>
      <c r="L27" s="368">
        <f t="shared" si="33"/>
        <v>4429.7</v>
      </c>
      <c r="M27" s="369">
        <f t="shared" si="33"/>
        <v>14.19775641025641</v>
      </c>
      <c r="N27" s="370"/>
      <c r="O27" s="350">
        <f>SUM(O11:O24)</f>
        <v>25823.14112</v>
      </c>
      <c r="P27" s="350">
        <f>SUM(P11:P24)</f>
        <v>19499.106559999997</v>
      </c>
      <c r="Q27" s="44">
        <f>SUM(Q11:Q24)</f>
        <v>53.422209753424653</v>
      </c>
      <c r="R27" s="44"/>
      <c r="AA27" s="345"/>
      <c r="AB27" s="345"/>
      <c r="AC27" s="342"/>
      <c r="AD27" s="351">
        <f>SUM(AD11:AD24)</f>
        <v>18362</v>
      </c>
      <c r="AE27" s="345"/>
      <c r="AF27" s="367">
        <f>SUM(AF11:AF24)</f>
        <v>602.39999999999986</v>
      </c>
      <c r="AG27" s="350">
        <f>SUM(AG11:AG24)</f>
        <v>1242.9810000000002</v>
      </c>
      <c r="AH27" s="44">
        <f>SUM(AH11:AH24)</f>
        <v>4.7806961538461543</v>
      </c>
      <c r="AI27" s="317"/>
      <c r="AJ27" s="44">
        <f t="shared" ref="AJ27:AS27" si="34">SUM(AJ11:AJ24)</f>
        <v>356.05632079999998</v>
      </c>
      <c r="AK27" s="44">
        <f t="shared" si="34"/>
        <v>3614.5810031999995</v>
      </c>
      <c r="AL27" s="44">
        <f t="shared" si="34"/>
        <v>3970.6373239999994</v>
      </c>
      <c r="AM27" s="42">
        <f t="shared" si="34"/>
        <v>5877</v>
      </c>
      <c r="AN27" s="44">
        <f t="shared" si="34"/>
        <v>354.39999999999992</v>
      </c>
      <c r="AO27" s="43">
        <f t="shared" si="34"/>
        <v>3616.2373240000002</v>
      </c>
      <c r="AP27" s="44">
        <f t="shared" si="34"/>
        <v>11.590504243589743</v>
      </c>
      <c r="AQ27" s="317"/>
      <c r="AR27" s="43">
        <f t="shared" si="34"/>
        <v>28802.694283999994</v>
      </c>
      <c r="AS27" s="44">
        <f t="shared" si="34"/>
        <v>84.038183868809284</v>
      </c>
    </row>
    <row r="28" spans="1:45" ht="20.100000000000001" customHeight="1">
      <c r="M28" s="345"/>
      <c r="N28" s="371"/>
      <c r="O28" s="372"/>
      <c r="AC28" s="317"/>
      <c r="AI28" s="317"/>
      <c r="AQ28" s="317"/>
    </row>
    <row r="29" spans="1:45" ht="20.100000000000001" customHeight="1">
      <c r="A29" s="309" t="s">
        <v>47</v>
      </c>
      <c r="H29" s="359">
        <f t="shared" ref="H29:N29" si="35">SUM(H26-H30)</f>
        <v>890.44818427577661</v>
      </c>
      <c r="I29" s="359"/>
      <c r="J29" s="41">
        <f t="shared" si="35"/>
        <v>4955.9556581031748</v>
      </c>
      <c r="K29" s="41">
        <f t="shared" si="35"/>
        <v>1154.1066731524211</v>
      </c>
      <c r="L29" s="41">
        <f t="shared" si="35"/>
        <v>3801.8489849507541</v>
      </c>
      <c r="M29" s="359">
        <f t="shared" si="35"/>
        <v>12.185413413303699</v>
      </c>
      <c r="N29" s="41">
        <f t="shared" si="35"/>
        <v>0</v>
      </c>
      <c r="O29" s="41">
        <f>SUM(O26-O30)</f>
        <v>22594.38608</v>
      </c>
      <c r="P29" s="41">
        <f>SUM(P26-P30)</f>
        <v>17061.067040000002</v>
      </c>
      <c r="Q29" s="359">
        <f>SUM(Q26-Q30)</f>
        <v>46.742649424657536</v>
      </c>
      <c r="R29" s="359"/>
      <c r="S29" s="309" t="s">
        <v>47</v>
      </c>
      <c r="T29" s="41"/>
      <c r="U29" s="41"/>
      <c r="V29" s="41"/>
      <c r="AA29" s="41">
        <f>SUM(AA26-AA30)</f>
        <v>13.702638015267175</v>
      </c>
      <c r="AB29" s="359">
        <f>SUM(AB26-AB30)</f>
        <v>4.3918711587394792E-2</v>
      </c>
      <c r="AC29" s="342"/>
      <c r="AD29" s="41">
        <f>SUM(AD26-AD30)</f>
        <v>14226</v>
      </c>
      <c r="AE29" s="41"/>
      <c r="AF29" s="41">
        <f>SUM(AF26-AF30)</f>
        <v>466.71072867879315</v>
      </c>
      <c r="AG29" s="41">
        <f>SUM(AG26-AG30)</f>
        <v>963.00227132120699</v>
      </c>
      <c r="AH29" s="359">
        <f>SUM(AH26-AH30)</f>
        <v>3.7038548896969496</v>
      </c>
      <c r="AI29" s="317"/>
      <c r="AJ29" s="41"/>
      <c r="AK29" s="41"/>
      <c r="AL29" s="41"/>
      <c r="AM29" s="41"/>
      <c r="AN29" s="359"/>
      <c r="AO29" s="359">
        <f>SUM(AO26-AO30)</f>
        <v>3199.6160608166574</v>
      </c>
      <c r="AP29" s="359">
        <f>SUM(AP26-AP30)</f>
        <v>10.255179682104671</v>
      </c>
      <c r="AQ29" s="342"/>
      <c r="AR29" s="41">
        <f>SUM(L31,P29,AA29,AG29,AL29)</f>
        <v>18061.571949336474</v>
      </c>
      <c r="AS29" s="359">
        <f>SUM(M31,Q29,AB29,AH29,AP29)</f>
        <v>60.745602708046547</v>
      </c>
    </row>
    <row r="30" spans="1:45" ht="20.100000000000001" customHeight="1">
      <c r="A30" s="309" t="s">
        <v>48</v>
      </c>
      <c r="H30" s="359">
        <f t="shared" ref="H30:M30" si="36">SUM(H12,H16,H17,H18)</f>
        <v>147.05181572422345</v>
      </c>
      <c r="I30" s="359"/>
      <c r="J30" s="41">
        <f t="shared" si="36"/>
        <v>818.44434189682488</v>
      </c>
      <c r="K30" s="41">
        <f t="shared" si="36"/>
        <v>190.59332684757905</v>
      </c>
      <c r="L30" s="41">
        <f t="shared" si="36"/>
        <v>627.8510150492458</v>
      </c>
      <c r="M30" s="359">
        <f t="shared" si="36"/>
        <v>2.0123429969527109</v>
      </c>
      <c r="N30" s="349"/>
      <c r="O30" s="41">
        <f>SUM(O12,O16,O17,O18)</f>
        <v>3228.75504</v>
      </c>
      <c r="P30" s="41">
        <f>SUM(P12,P16,P17,P18)</f>
        <v>2438.0395199999998</v>
      </c>
      <c r="Q30" s="359">
        <f>SUM(Q12,Q16,Q17,Q18)</f>
        <v>6.6795603287671232</v>
      </c>
      <c r="R30" s="359"/>
      <c r="S30" s="309" t="s">
        <v>48</v>
      </c>
      <c r="T30" s="41"/>
      <c r="U30" s="41"/>
      <c r="V30" s="41"/>
      <c r="AA30" s="41">
        <f>SUM(AA12,AA16,AA17,AA18)</f>
        <v>0.96676198473282426</v>
      </c>
      <c r="AB30" s="359">
        <f>SUM(AB12,AB16,AB17,AB18)</f>
        <v>3.0985961049128981E-3</v>
      </c>
      <c r="AC30" s="373"/>
      <c r="AD30" s="41">
        <f>SUM(AD12,AD16,AD17,AD18)</f>
        <v>4136</v>
      </c>
      <c r="AE30" s="41"/>
      <c r="AF30" s="41">
        <f>SUM(AF12,AF16,AF17,AF18)</f>
        <v>135.68927132120683</v>
      </c>
      <c r="AG30" s="41">
        <f>SUM(AG12,AG16,AG17,AG18)</f>
        <v>279.97872867879317</v>
      </c>
      <c r="AH30" s="359">
        <f>SUM(AH12,AH16,AH17,AH18)</f>
        <v>1.0768412641492047</v>
      </c>
      <c r="AI30" s="317"/>
      <c r="AJ30" s="41"/>
      <c r="AK30" s="41"/>
      <c r="AL30" s="41"/>
      <c r="AM30" s="41"/>
      <c r="AN30" s="359"/>
      <c r="AO30" s="359">
        <f>SUM(AO12,AO16,AO17,AO18)</f>
        <v>416.62126318334185</v>
      </c>
      <c r="AP30" s="359">
        <f>SUM(AP12,AP16,AP17,AP18)</f>
        <v>1.3353245614850699</v>
      </c>
      <c r="AQ30" s="342"/>
      <c r="AR30" s="41">
        <f>SUM(L30,P30,AA30,AG30,AL30)</f>
        <v>3346.8360257127715</v>
      </c>
      <c r="AS30" s="359">
        <f>SUM(AS12,AS16,AS17,AS18)</f>
        <v>11.107167747459021</v>
      </c>
    </row>
    <row r="31" spans="1:45" ht="20.100000000000001" customHeight="1">
      <c r="H31" s="41" t="s">
        <v>315</v>
      </c>
      <c r="I31" s="41"/>
      <c r="L31" s="41">
        <v>23.8</v>
      </c>
      <c r="M31" s="359" t="s">
        <v>309</v>
      </c>
    </row>
    <row r="32" spans="1:45" ht="20.100000000000001" customHeight="1">
      <c r="AC32" s="322"/>
    </row>
    <row r="35" spans="7:32" ht="20.100000000000001" customHeight="1">
      <c r="AF35" s="309" t="s">
        <v>85</v>
      </c>
    </row>
    <row r="36" spans="7:32" ht="20.100000000000001" customHeight="1">
      <c r="G36" s="322" t="s">
        <v>466</v>
      </c>
    </row>
  </sheetData>
  <phoneticPr fontId="0" type="noConversion"/>
  <printOptions gridLines="1"/>
  <pageMargins left="0.5" right="0.25" top="0.5" bottom="0.5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38"/>
  <sheetViews>
    <sheetView workbookViewId="0">
      <selection sqref="A1:IV65536"/>
    </sheetView>
  </sheetViews>
  <sheetFormatPr defaultRowHeight="15" customHeight="1"/>
  <cols>
    <col min="1" max="1" width="6.140625" style="75" customWidth="1"/>
    <col min="2" max="2" width="9.7109375" style="75" customWidth="1"/>
    <col min="3" max="3" width="8" style="75" customWidth="1"/>
    <col min="4" max="4" width="6.42578125" style="75" customWidth="1"/>
    <col min="5" max="5" width="9.28515625" style="75" customWidth="1"/>
    <col min="6" max="6" width="5.85546875" style="96" customWidth="1"/>
    <col min="7" max="7" width="0.7109375" style="96" customWidth="1"/>
    <col min="8" max="8" width="7.42578125" style="75" customWidth="1"/>
    <col min="9" max="9" width="6.7109375" style="96" customWidth="1"/>
    <col min="10" max="10" width="1" style="96" customWidth="1"/>
    <col min="11" max="11" width="7.7109375" style="75" customWidth="1"/>
    <col min="12" max="12" width="6" style="96" customWidth="1"/>
    <col min="13" max="13" width="0.85546875" style="96" customWidth="1"/>
    <col min="14" max="14" width="8.28515625" style="75" customWidth="1"/>
    <col min="15" max="15" width="5.7109375" style="96" customWidth="1"/>
    <col min="16" max="16" width="0.85546875" style="96" customWidth="1"/>
    <col min="17" max="17" width="8" style="96" customWidth="1"/>
    <col min="18" max="18" width="6.42578125" style="96" customWidth="1"/>
    <col min="19" max="19" width="0.7109375" style="96" customWidth="1"/>
    <col min="20" max="21" width="7.140625" style="75" customWidth="1"/>
    <col min="22" max="22" width="8.140625" style="75" customWidth="1"/>
    <col min="23" max="23" width="5.5703125" style="75" customWidth="1"/>
    <col min="24" max="24" width="6.140625" style="75" customWidth="1"/>
    <col min="25" max="25" width="4.85546875" style="96" customWidth="1"/>
    <col min="26" max="26" width="1.28515625" style="75" customWidth="1"/>
    <col min="27" max="28" width="10.28515625" style="75" customWidth="1"/>
    <col min="29" max="29" width="1" style="75" customWidth="1"/>
    <col min="30" max="16384" width="9.140625" style="75"/>
  </cols>
  <sheetData>
    <row r="1" spans="1:28" ht="27" customHeight="1">
      <c r="C1" s="96" t="s">
        <v>335</v>
      </c>
      <c r="F1" s="75"/>
    </row>
    <row r="2" spans="1:28" ht="18" customHeight="1">
      <c r="A2" s="75" t="s">
        <v>328</v>
      </c>
      <c r="E2" s="96"/>
      <c r="Z2" s="108"/>
    </row>
    <row r="3" spans="1:28" ht="27" customHeight="1">
      <c r="D3" s="96" t="s">
        <v>87</v>
      </c>
      <c r="E3" s="96"/>
      <c r="T3" s="96" t="s">
        <v>88</v>
      </c>
      <c r="Z3" s="108"/>
    </row>
    <row r="4" spans="1:28" ht="21.75" customHeight="1">
      <c r="C4" s="115" t="s">
        <v>89</v>
      </c>
      <c r="G4" s="280"/>
      <c r="H4" s="115" t="s">
        <v>90</v>
      </c>
      <c r="J4" s="280"/>
      <c r="K4" s="61" t="s">
        <v>91</v>
      </c>
      <c r="M4" s="281" t="s">
        <v>92</v>
      </c>
      <c r="P4" s="280"/>
      <c r="Q4" s="75"/>
      <c r="S4" s="280"/>
      <c r="T4" s="75" t="s">
        <v>93</v>
      </c>
      <c r="U4" s="96"/>
      <c r="Z4" s="282"/>
      <c r="AA4" s="121" t="s">
        <v>11</v>
      </c>
      <c r="AB4" s="121" t="s">
        <v>11</v>
      </c>
    </row>
    <row r="5" spans="1:28" ht="15" customHeight="1">
      <c r="D5" s="75" t="s">
        <v>94</v>
      </c>
      <c r="F5" s="75"/>
      <c r="G5" s="279"/>
      <c r="H5" s="75" t="s">
        <v>95</v>
      </c>
      <c r="I5" s="75"/>
      <c r="J5" s="279"/>
      <c r="K5" s="45" t="s">
        <v>96</v>
      </c>
      <c r="L5" s="75"/>
      <c r="M5" s="279"/>
      <c r="N5" s="45" t="s">
        <v>97</v>
      </c>
      <c r="O5" s="75"/>
      <c r="P5" s="279"/>
      <c r="Q5" s="75"/>
      <c r="R5" s="75"/>
      <c r="S5" s="279"/>
      <c r="Y5" s="75"/>
      <c r="Z5" s="283"/>
      <c r="AA5" s="121" t="s">
        <v>98</v>
      </c>
      <c r="AB5" s="121" t="s">
        <v>98</v>
      </c>
    </row>
    <row r="6" spans="1:28" s="96" customFormat="1" ht="15" customHeight="1">
      <c r="C6" s="96">
        <v>2011</v>
      </c>
      <c r="E6" s="61" t="s">
        <v>99</v>
      </c>
      <c r="G6" s="280"/>
      <c r="H6" s="61" t="s">
        <v>99</v>
      </c>
      <c r="I6" s="121"/>
      <c r="J6" s="284"/>
      <c r="K6" s="61" t="s">
        <v>99</v>
      </c>
      <c r="M6" s="284"/>
      <c r="N6" s="61" t="s">
        <v>99</v>
      </c>
      <c r="O6" s="285"/>
      <c r="P6" s="280"/>
      <c r="Q6" s="121" t="s">
        <v>100</v>
      </c>
      <c r="R6" s="121" t="s">
        <v>100</v>
      </c>
      <c r="S6" s="284"/>
      <c r="V6" s="121" t="s">
        <v>101</v>
      </c>
      <c r="Y6" s="121"/>
      <c r="Z6" s="283"/>
      <c r="AA6" s="121" t="s">
        <v>102</v>
      </c>
      <c r="AB6" s="121" t="s">
        <v>102</v>
      </c>
    </row>
    <row r="7" spans="1:28" s="96" customFormat="1" ht="15" customHeight="1">
      <c r="C7" s="145" t="s">
        <v>24</v>
      </c>
      <c r="E7" s="121" t="s">
        <v>329</v>
      </c>
      <c r="F7" s="121" t="s">
        <v>103</v>
      </c>
      <c r="G7" s="284"/>
      <c r="H7" s="121" t="s">
        <v>331</v>
      </c>
      <c r="I7" s="121" t="s">
        <v>104</v>
      </c>
      <c r="J7" s="286"/>
      <c r="K7" s="50" t="s">
        <v>333</v>
      </c>
      <c r="L7" s="121" t="s">
        <v>105</v>
      </c>
      <c r="M7" s="284"/>
      <c r="N7" s="50" t="s">
        <v>333</v>
      </c>
      <c r="O7" s="121" t="s">
        <v>105</v>
      </c>
      <c r="P7" s="280"/>
      <c r="Q7" s="121" t="s">
        <v>106</v>
      </c>
      <c r="R7" s="285" t="s">
        <v>106</v>
      </c>
      <c r="S7" s="284"/>
      <c r="T7" s="121" t="s">
        <v>59</v>
      </c>
      <c r="U7" s="121" t="s">
        <v>59</v>
      </c>
      <c r="V7" s="121" t="s">
        <v>311</v>
      </c>
      <c r="W7" s="115" t="s">
        <v>52</v>
      </c>
      <c r="X7" s="121" t="s">
        <v>14</v>
      </c>
      <c r="Y7" s="121" t="s">
        <v>14</v>
      </c>
      <c r="Z7" s="283"/>
      <c r="AA7" s="121" t="s">
        <v>107</v>
      </c>
      <c r="AB7" s="121" t="s">
        <v>107</v>
      </c>
    </row>
    <row r="8" spans="1:28" s="96" customFormat="1" ht="15" customHeight="1">
      <c r="B8" s="96">
        <v>2011</v>
      </c>
      <c r="C8" s="145" t="s">
        <v>116</v>
      </c>
      <c r="D8" s="121" t="s">
        <v>24</v>
      </c>
      <c r="E8" s="121" t="s">
        <v>330</v>
      </c>
      <c r="F8" s="121" t="s">
        <v>108</v>
      </c>
      <c r="G8" s="284"/>
      <c r="H8" s="121" t="s">
        <v>332</v>
      </c>
      <c r="I8" s="121" t="s">
        <v>108</v>
      </c>
      <c r="J8" s="284"/>
      <c r="K8" s="121" t="s">
        <v>334</v>
      </c>
      <c r="L8" s="121" t="s">
        <v>109</v>
      </c>
      <c r="M8" s="287"/>
      <c r="N8" s="121" t="s">
        <v>334</v>
      </c>
      <c r="O8" s="121" t="s">
        <v>109</v>
      </c>
      <c r="P8" s="284"/>
      <c r="Q8" s="121" t="s">
        <v>23</v>
      </c>
      <c r="R8" s="121" t="s">
        <v>23</v>
      </c>
      <c r="S8" s="284"/>
      <c r="T8" s="121" t="s">
        <v>110</v>
      </c>
      <c r="U8" s="121" t="s">
        <v>110</v>
      </c>
      <c r="V8" s="121" t="s">
        <v>111</v>
      </c>
      <c r="W8" s="145">
        <v>3.2</v>
      </c>
      <c r="X8" s="121" t="s">
        <v>19</v>
      </c>
      <c r="Y8" s="121" t="s">
        <v>104</v>
      </c>
      <c r="Z8" s="283"/>
      <c r="AA8" s="121" t="s">
        <v>112</v>
      </c>
      <c r="AB8" s="121" t="s">
        <v>112</v>
      </c>
    </row>
    <row r="9" spans="1:28" s="288" customFormat="1" ht="15" customHeight="1">
      <c r="B9" s="145" t="s">
        <v>113</v>
      </c>
      <c r="C9" s="145" t="s">
        <v>114</v>
      </c>
      <c r="D9" s="145" t="s">
        <v>29</v>
      </c>
      <c r="E9" s="145" t="s">
        <v>77</v>
      </c>
      <c r="F9" s="145" t="s">
        <v>26</v>
      </c>
      <c r="G9" s="287"/>
      <c r="H9" s="145" t="s">
        <v>25</v>
      </c>
      <c r="I9" s="145" t="s">
        <v>26</v>
      </c>
      <c r="J9" s="287"/>
      <c r="K9" s="289" t="s">
        <v>115</v>
      </c>
      <c r="L9" s="145" t="s">
        <v>26</v>
      </c>
      <c r="M9" s="290"/>
      <c r="N9" s="289" t="s">
        <v>115</v>
      </c>
      <c r="O9" s="145" t="s">
        <v>26</v>
      </c>
      <c r="P9" s="287"/>
      <c r="Q9" s="145" t="s">
        <v>25</v>
      </c>
      <c r="R9" s="145" t="s">
        <v>26</v>
      </c>
      <c r="S9" s="287"/>
      <c r="T9" s="288">
        <v>811121</v>
      </c>
      <c r="U9" s="288" t="s">
        <v>116</v>
      </c>
      <c r="V9" s="145" t="s">
        <v>77</v>
      </c>
      <c r="W9" s="145" t="s">
        <v>25</v>
      </c>
      <c r="X9" s="145" t="s">
        <v>25</v>
      </c>
      <c r="Y9" s="145" t="s">
        <v>26</v>
      </c>
      <c r="Z9" s="291"/>
      <c r="AA9" s="145" t="s">
        <v>25</v>
      </c>
      <c r="AB9" s="145" t="s">
        <v>26</v>
      </c>
    </row>
    <row r="10" spans="1:28" ht="15.95" customHeight="1">
      <c r="B10" s="96"/>
      <c r="C10" s="96"/>
      <c r="D10" s="96"/>
      <c r="E10" s="119"/>
      <c r="G10" s="280"/>
      <c r="H10" s="45"/>
      <c r="J10" s="280"/>
      <c r="K10" s="51"/>
      <c r="L10" s="50"/>
      <c r="M10" s="292"/>
      <c r="O10" s="50"/>
      <c r="P10" s="284"/>
      <c r="Q10" s="75"/>
      <c r="R10" s="121"/>
      <c r="S10" s="284"/>
      <c r="T10" s="96"/>
      <c r="U10" s="96"/>
      <c r="V10" s="96"/>
      <c r="W10" s="96"/>
      <c r="X10" s="96"/>
      <c r="Z10" s="293"/>
    </row>
    <row r="11" spans="1:28" ht="18" customHeight="1">
      <c r="A11" s="75" t="s">
        <v>31</v>
      </c>
      <c r="B11" s="294">
        <v>215769</v>
      </c>
      <c r="C11" s="294">
        <f>SUM(B11/365)*1.3</f>
        <v>768.49232876712335</v>
      </c>
      <c r="D11" s="181">
        <f>SUM(B11/6587536)</f>
        <v>3.2754128402486149E-2</v>
      </c>
      <c r="E11" s="60">
        <f>SUM(B11*2.5392)/2000</f>
        <v>273.94032240000001</v>
      </c>
      <c r="F11" s="86">
        <f>SUM(E11/365)*1.3</f>
        <v>0.97567786060273975</v>
      </c>
      <c r="G11" s="295"/>
      <c r="H11" s="60">
        <f>SUM(B11*0.276)/2000</f>
        <v>29.776122000000004</v>
      </c>
      <c r="I11" s="86">
        <f>SUM(H11/365)*1.3</f>
        <v>0.10605194136986303</v>
      </c>
      <c r="J11" s="295"/>
      <c r="K11" s="60">
        <f>SUM(B11*0.4416)/2000</f>
        <v>47.641795199999997</v>
      </c>
      <c r="L11" s="222">
        <f t="shared" ref="L11:L24" si="0">SUM(K11/365)*1.3</f>
        <v>0.16968310619178081</v>
      </c>
      <c r="M11" s="295"/>
      <c r="N11" s="60">
        <f>SUM(B11*0.4416)/2000</f>
        <v>47.641795199999997</v>
      </c>
      <c r="O11" s="86">
        <f t="shared" ref="O11:O24" si="1">SUM(N11/365)*1.3</f>
        <v>0.16968310619178081</v>
      </c>
      <c r="P11" s="296"/>
      <c r="Q11" s="250">
        <f t="shared" ref="Q11:R24" si="2">SUM(E11,H11,K11,N11)</f>
        <v>399.00003479999998</v>
      </c>
      <c r="R11" s="297">
        <f t="shared" si="2"/>
        <v>1.4210960143561642</v>
      </c>
      <c r="S11" s="296"/>
      <c r="T11" s="173">
        <v>177</v>
      </c>
      <c r="U11" s="60">
        <f>SUM(T11/260)</f>
        <v>0.68076923076923079</v>
      </c>
      <c r="V11" s="60">
        <f>SUM(T11*549.25)/2000</f>
        <v>48.608625000000004</v>
      </c>
      <c r="W11" s="60"/>
      <c r="X11" s="60">
        <f>SUM(V11-W11)</f>
        <v>48.608625000000004</v>
      </c>
      <c r="Y11" s="86">
        <f>SUM(X11/260)</f>
        <v>0.18695625000000002</v>
      </c>
      <c r="Z11" s="298"/>
      <c r="AA11" s="299">
        <f t="shared" ref="AA11:AB24" si="3">SUM(E11,H11,K11,N11,X11)</f>
        <v>447.6086598</v>
      </c>
      <c r="AB11" s="300">
        <f t="shared" si="3"/>
        <v>1.6080522643561641</v>
      </c>
    </row>
    <row r="12" spans="1:28" ht="18" customHeight="1">
      <c r="A12" s="75" t="s">
        <v>32</v>
      </c>
      <c r="B12" s="294">
        <v>130458</v>
      </c>
      <c r="C12" s="294">
        <f t="shared" ref="C12:C26" si="4">SUM(B12/365)*1.3</f>
        <v>464.64493150684933</v>
      </c>
      <c r="D12" s="181">
        <f t="shared" ref="D12:D26" si="5">SUM(B12/6587536)</f>
        <v>1.9803762742245355E-2</v>
      </c>
      <c r="E12" s="60">
        <f t="shared" ref="E12:E26" si="6">SUM(B12*2.5392)/2000</f>
        <v>165.62947679999999</v>
      </c>
      <c r="F12" s="86">
        <f t="shared" ref="F12:F26" si="7">SUM(E12/365)*1.3</f>
        <v>0.5899132050410959</v>
      </c>
      <c r="G12" s="295"/>
      <c r="H12" s="60">
        <f t="shared" ref="H12:H26" si="8">SUM(B12*0.276)/2000</f>
        <v>18.003204</v>
      </c>
      <c r="I12" s="86">
        <f t="shared" ref="I12:I26" si="9">SUM(H12/365)*1.3</f>
        <v>6.4121000547945214E-2</v>
      </c>
      <c r="J12" s="295"/>
      <c r="K12" s="60">
        <f t="shared" ref="K12:K26" si="10">SUM(B12*0.4416)/2000</f>
        <v>28.805126400000002</v>
      </c>
      <c r="L12" s="222">
        <f t="shared" si="0"/>
        <v>0.10259360087671235</v>
      </c>
      <c r="M12" s="295"/>
      <c r="N12" s="60">
        <f t="shared" ref="N12:N26" si="11">SUM(B12*0.4416)/2000</f>
        <v>28.805126400000002</v>
      </c>
      <c r="O12" s="86">
        <f t="shared" si="1"/>
        <v>0.10259360087671235</v>
      </c>
      <c r="P12" s="295"/>
      <c r="Q12" s="250">
        <f t="shared" si="2"/>
        <v>241.24293360000001</v>
      </c>
      <c r="R12" s="297">
        <f t="shared" si="2"/>
        <v>0.85922140734246577</v>
      </c>
      <c r="S12" s="295"/>
      <c r="T12" s="173">
        <v>106</v>
      </c>
      <c r="U12" s="60">
        <f t="shared" ref="U12:U26" si="12">SUM(T12/260)</f>
        <v>0.40769230769230769</v>
      </c>
      <c r="V12" s="60">
        <f t="shared" ref="V12:V26" si="13">SUM(T12*549.25)/2000</f>
        <v>29.110250000000001</v>
      </c>
      <c r="W12" s="60"/>
      <c r="X12" s="60">
        <f t="shared" ref="X12:X24" si="14">SUM(V12-W12)</f>
        <v>29.110250000000001</v>
      </c>
      <c r="Y12" s="86">
        <f t="shared" ref="Y12:Y26" si="15">SUM(X12/260)</f>
        <v>0.11196250000000001</v>
      </c>
      <c r="Z12" s="298"/>
      <c r="AA12" s="299">
        <f t="shared" si="3"/>
        <v>270.35318360000002</v>
      </c>
      <c r="AB12" s="300">
        <f t="shared" si="3"/>
        <v>0.97118390734246574</v>
      </c>
    </row>
    <row r="13" spans="1:28" ht="18" customHeight="1">
      <c r="A13" s="75" t="s">
        <v>33</v>
      </c>
      <c r="B13" s="294">
        <v>548922</v>
      </c>
      <c r="C13" s="294">
        <f t="shared" si="4"/>
        <v>1955.0646575342466</v>
      </c>
      <c r="D13" s="181">
        <f t="shared" si="5"/>
        <v>8.3327362461472695E-2</v>
      </c>
      <c r="E13" s="60">
        <f t="shared" si="6"/>
        <v>696.91137120000008</v>
      </c>
      <c r="F13" s="86">
        <f t="shared" si="7"/>
        <v>2.4821500892054797</v>
      </c>
      <c r="G13" s="295"/>
      <c r="H13" s="60">
        <f t="shared" si="8"/>
        <v>75.751236000000006</v>
      </c>
      <c r="I13" s="86">
        <f t="shared" si="9"/>
        <v>0.26979892273972605</v>
      </c>
      <c r="J13" s="295"/>
      <c r="K13" s="60">
        <f t="shared" si="10"/>
        <v>121.20197759999999</v>
      </c>
      <c r="L13" s="222">
        <f t="shared" si="0"/>
        <v>0.43167827638356165</v>
      </c>
      <c r="M13" s="295"/>
      <c r="N13" s="60">
        <f t="shared" si="11"/>
        <v>121.20197759999999</v>
      </c>
      <c r="O13" s="86">
        <f t="shared" si="1"/>
        <v>0.43167827638356165</v>
      </c>
      <c r="P13" s="295"/>
      <c r="Q13" s="250">
        <f t="shared" si="2"/>
        <v>1015.0665624000001</v>
      </c>
      <c r="R13" s="297">
        <f t="shared" si="2"/>
        <v>3.6153055647123291</v>
      </c>
      <c r="S13" s="295"/>
      <c r="T13" s="173">
        <v>483</v>
      </c>
      <c r="U13" s="60">
        <f t="shared" si="12"/>
        <v>1.8576923076923078</v>
      </c>
      <c r="V13" s="60">
        <f t="shared" si="13"/>
        <v>132.64387500000001</v>
      </c>
      <c r="W13" s="60"/>
      <c r="X13" s="60">
        <f t="shared" si="14"/>
        <v>132.64387500000001</v>
      </c>
      <c r="Y13" s="86">
        <f t="shared" si="15"/>
        <v>0.51016875000000006</v>
      </c>
      <c r="Z13" s="298"/>
      <c r="AA13" s="299">
        <f t="shared" si="3"/>
        <v>1147.7104374</v>
      </c>
      <c r="AB13" s="300">
        <f t="shared" si="3"/>
        <v>4.1254743147123296</v>
      </c>
    </row>
    <row r="14" spans="1:28" ht="18" customHeight="1">
      <c r="A14" s="75" t="s">
        <v>34</v>
      </c>
      <c r="B14" s="294">
        <v>16766</v>
      </c>
      <c r="C14" s="294">
        <f t="shared" si="4"/>
        <v>59.714520547945206</v>
      </c>
      <c r="D14" s="181">
        <f t="shared" si="5"/>
        <v>2.5451094309010226E-3</v>
      </c>
      <c r="E14" s="60">
        <f t="shared" si="6"/>
        <v>21.2861136</v>
      </c>
      <c r="F14" s="86">
        <f t="shared" si="7"/>
        <v>7.5813555287671239E-2</v>
      </c>
      <c r="G14" s="295"/>
      <c r="H14" s="60">
        <f t="shared" si="8"/>
        <v>2.3137080000000001</v>
      </c>
      <c r="I14" s="86">
        <f t="shared" si="9"/>
        <v>8.2406038356164397E-3</v>
      </c>
      <c r="J14" s="295"/>
      <c r="K14" s="60">
        <f t="shared" si="10"/>
        <v>3.7019328000000002</v>
      </c>
      <c r="L14" s="222">
        <f t="shared" si="0"/>
        <v>1.3184966136986302E-2</v>
      </c>
      <c r="M14" s="295"/>
      <c r="N14" s="60">
        <f t="shared" si="11"/>
        <v>3.7019328000000002</v>
      </c>
      <c r="O14" s="86">
        <f t="shared" si="1"/>
        <v>1.3184966136986302E-2</v>
      </c>
      <c r="P14" s="295"/>
      <c r="Q14" s="250">
        <f t="shared" si="2"/>
        <v>31.003687200000002</v>
      </c>
      <c r="R14" s="297">
        <f t="shared" si="2"/>
        <v>0.11042409139726028</v>
      </c>
      <c r="S14" s="295"/>
      <c r="T14" s="173">
        <v>7</v>
      </c>
      <c r="U14" s="60">
        <f t="shared" si="12"/>
        <v>2.6923076923076925E-2</v>
      </c>
      <c r="V14" s="60">
        <f t="shared" si="13"/>
        <v>1.9223749999999999</v>
      </c>
      <c r="W14" s="60"/>
      <c r="X14" s="60">
        <f t="shared" si="14"/>
        <v>1.9223749999999999</v>
      </c>
      <c r="Y14" s="86">
        <f t="shared" si="15"/>
        <v>7.3937500000000001E-3</v>
      </c>
      <c r="Z14" s="298"/>
      <c r="AA14" s="299">
        <f t="shared" si="3"/>
        <v>32.926062200000004</v>
      </c>
      <c r="AB14" s="300">
        <f t="shared" si="3"/>
        <v>0.11781784139726029</v>
      </c>
    </row>
    <row r="15" spans="1:28" ht="18" customHeight="1">
      <c r="A15" s="75" t="s">
        <v>35</v>
      </c>
      <c r="B15" s="294">
        <v>748930</v>
      </c>
      <c r="C15" s="294">
        <f t="shared" si="4"/>
        <v>2667.4219178082194</v>
      </c>
      <c r="D15" s="181">
        <f t="shared" si="5"/>
        <v>0.113688942269158</v>
      </c>
      <c r="E15" s="60">
        <f t="shared" si="6"/>
        <v>950.84152800000004</v>
      </c>
      <c r="F15" s="86">
        <f t="shared" si="7"/>
        <v>3.3865588668493154</v>
      </c>
      <c r="G15" s="295"/>
      <c r="H15" s="60">
        <f t="shared" si="8"/>
        <v>103.35234000000001</v>
      </c>
      <c r="I15" s="86">
        <f t="shared" si="9"/>
        <v>0.36810422465753428</v>
      </c>
      <c r="J15" s="295"/>
      <c r="K15" s="60">
        <f t="shared" si="10"/>
        <v>165.363744</v>
      </c>
      <c r="L15" s="222">
        <f t="shared" si="0"/>
        <v>0.58896675945205479</v>
      </c>
      <c r="M15" s="295"/>
      <c r="N15" s="60">
        <f t="shared" si="11"/>
        <v>165.363744</v>
      </c>
      <c r="O15" s="86">
        <f t="shared" si="1"/>
        <v>0.58896675945205479</v>
      </c>
      <c r="P15" s="295"/>
      <c r="Q15" s="250">
        <f t="shared" si="2"/>
        <v>1384.9213560000001</v>
      </c>
      <c r="R15" s="297">
        <f t="shared" si="2"/>
        <v>4.9325966104109593</v>
      </c>
      <c r="S15" s="295"/>
      <c r="T15" s="173">
        <v>498</v>
      </c>
      <c r="U15" s="60">
        <f t="shared" si="12"/>
        <v>1.9153846153846155</v>
      </c>
      <c r="V15" s="60">
        <f t="shared" si="13"/>
        <v>136.76325</v>
      </c>
      <c r="W15" s="60">
        <v>9.8000000000000007</v>
      </c>
      <c r="X15" s="60">
        <f t="shared" si="14"/>
        <v>126.96325</v>
      </c>
      <c r="Y15" s="86">
        <f t="shared" si="15"/>
        <v>0.4883201923076923</v>
      </c>
      <c r="Z15" s="298"/>
      <c r="AA15" s="299">
        <f t="shared" si="3"/>
        <v>1511.8846060000001</v>
      </c>
      <c r="AB15" s="300">
        <f t="shared" si="3"/>
        <v>5.4209168027186516</v>
      </c>
    </row>
    <row r="16" spans="1:28" ht="18" customHeight="1">
      <c r="A16" s="75" t="s">
        <v>36</v>
      </c>
      <c r="B16" s="294">
        <v>71599</v>
      </c>
      <c r="C16" s="294">
        <f t="shared" si="4"/>
        <v>255.01013698630138</v>
      </c>
      <c r="D16" s="181">
        <f t="shared" si="5"/>
        <v>1.0868859008891944E-2</v>
      </c>
      <c r="E16" s="60">
        <f t="shared" si="6"/>
        <v>90.902090400000006</v>
      </c>
      <c r="F16" s="86">
        <f t="shared" si="7"/>
        <v>0.32376086991780828</v>
      </c>
      <c r="G16" s="295"/>
      <c r="H16" s="60">
        <f t="shared" si="8"/>
        <v>9.8806620000000009</v>
      </c>
      <c r="I16" s="86">
        <f t="shared" si="9"/>
        <v>3.5191398904109591E-2</v>
      </c>
      <c r="J16" s="295"/>
      <c r="K16" s="60">
        <f t="shared" si="10"/>
        <v>15.8090592</v>
      </c>
      <c r="L16" s="222">
        <f t="shared" si="0"/>
        <v>5.6306238246575345E-2</v>
      </c>
      <c r="M16" s="295"/>
      <c r="N16" s="60">
        <f t="shared" si="11"/>
        <v>15.8090592</v>
      </c>
      <c r="O16" s="86">
        <f t="shared" si="1"/>
        <v>5.6306238246575345E-2</v>
      </c>
      <c r="P16" s="295"/>
      <c r="Q16" s="250">
        <f t="shared" si="2"/>
        <v>132.40087080000001</v>
      </c>
      <c r="R16" s="297">
        <f t="shared" si="2"/>
        <v>0.47156474531506853</v>
      </c>
      <c r="S16" s="295"/>
      <c r="T16" s="173">
        <v>19</v>
      </c>
      <c r="U16" s="60">
        <f t="shared" si="12"/>
        <v>7.3076923076923081E-2</v>
      </c>
      <c r="V16" s="60">
        <f t="shared" si="13"/>
        <v>5.2178750000000003</v>
      </c>
      <c r="W16" s="60"/>
      <c r="X16" s="60">
        <f t="shared" si="14"/>
        <v>5.2178750000000003</v>
      </c>
      <c r="Y16" s="86">
        <f t="shared" si="15"/>
        <v>2.006875E-2</v>
      </c>
      <c r="Z16" s="298"/>
      <c r="AA16" s="299">
        <f t="shared" si="3"/>
        <v>137.6187458</v>
      </c>
      <c r="AB16" s="300">
        <f t="shared" si="3"/>
        <v>0.49163349531506856</v>
      </c>
    </row>
    <row r="17" spans="1:28" ht="18" customHeight="1">
      <c r="A17" s="75" t="s">
        <v>37</v>
      </c>
      <c r="B17" s="294">
        <v>463783</v>
      </c>
      <c r="C17" s="294">
        <f t="shared" si="4"/>
        <v>1651.8298630136987</v>
      </c>
      <c r="D17" s="181">
        <f t="shared" si="5"/>
        <v>7.040310671546994E-2</v>
      </c>
      <c r="E17" s="60">
        <f t="shared" si="6"/>
        <v>588.81889679999995</v>
      </c>
      <c r="F17" s="86">
        <f t="shared" si="7"/>
        <v>2.0971631940821918</v>
      </c>
      <c r="G17" s="295"/>
      <c r="H17" s="60">
        <f t="shared" si="8"/>
        <v>64.002054000000001</v>
      </c>
      <c r="I17" s="86">
        <f t="shared" si="9"/>
        <v>0.22795252109589043</v>
      </c>
      <c r="J17" s="295"/>
      <c r="K17" s="60">
        <f t="shared" si="10"/>
        <v>102.4032864</v>
      </c>
      <c r="L17" s="222">
        <f t="shared" si="0"/>
        <v>0.36472403375342471</v>
      </c>
      <c r="M17" s="295"/>
      <c r="N17" s="60">
        <f t="shared" si="11"/>
        <v>102.4032864</v>
      </c>
      <c r="O17" s="86">
        <f t="shared" si="1"/>
        <v>0.36472403375342471</v>
      </c>
      <c r="P17" s="295"/>
      <c r="Q17" s="250">
        <f t="shared" si="2"/>
        <v>857.6275235999999</v>
      </c>
      <c r="R17" s="297">
        <f t="shared" si="2"/>
        <v>3.0545637826849319</v>
      </c>
      <c r="S17" s="295"/>
      <c r="T17" s="173">
        <v>440</v>
      </c>
      <c r="U17" s="60">
        <f t="shared" si="12"/>
        <v>1.6923076923076923</v>
      </c>
      <c r="V17" s="60">
        <f t="shared" si="13"/>
        <v>120.83499999999999</v>
      </c>
      <c r="W17" s="60">
        <v>7.5</v>
      </c>
      <c r="X17" s="60">
        <f t="shared" si="14"/>
        <v>113.33499999999999</v>
      </c>
      <c r="Y17" s="86">
        <f t="shared" si="15"/>
        <v>0.43590384615384614</v>
      </c>
      <c r="Z17" s="298"/>
      <c r="AA17" s="299">
        <f t="shared" si="3"/>
        <v>970.96252359999994</v>
      </c>
      <c r="AB17" s="300">
        <f t="shared" si="3"/>
        <v>3.4904676288387781</v>
      </c>
    </row>
    <row r="18" spans="1:28" ht="18" customHeight="1">
      <c r="A18" s="75" t="s">
        <v>38</v>
      </c>
      <c r="B18" s="294">
        <v>157822</v>
      </c>
      <c r="C18" s="294">
        <f t="shared" si="4"/>
        <v>562.10575342465756</v>
      </c>
      <c r="D18" s="181">
        <f t="shared" si="5"/>
        <v>2.3957667935325135E-2</v>
      </c>
      <c r="E18" s="60">
        <f t="shared" si="6"/>
        <v>200.37081119999999</v>
      </c>
      <c r="F18" s="86">
        <f t="shared" si="7"/>
        <v>0.7136494645479452</v>
      </c>
      <c r="G18" s="295"/>
      <c r="H18" s="60">
        <f t="shared" si="8"/>
        <v>21.779436</v>
      </c>
      <c r="I18" s="86">
        <f t="shared" si="9"/>
        <v>7.7570593972602742E-2</v>
      </c>
      <c r="J18" s="295"/>
      <c r="K18" s="60">
        <f t="shared" si="10"/>
        <v>34.847097599999998</v>
      </c>
      <c r="L18" s="222">
        <f t="shared" si="0"/>
        <v>0.12411295035616438</v>
      </c>
      <c r="M18" s="295"/>
      <c r="N18" s="60">
        <f t="shared" si="11"/>
        <v>34.847097599999998</v>
      </c>
      <c r="O18" s="86">
        <f t="shared" si="1"/>
        <v>0.12411295035616438</v>
      </c>
      <c r="P18" s="295"/>
      <c r="Q18" s="250">
        <f t="shared" si="2"/>
        <v>291.84444239999999</v>
      </c>
      <c r="R18" s="297">
        <f t="shared" si="2"/>
        <v>1.0394459592328769</v>
      </c>
      <c r="S18" s="295"/>
      <c r="T18" s="173">
        <v>130</v>
      </c>
      <c r="U18" s="60">
        <f t="shared" si="12"/>
        <v>0.5</v>
      </c>
      <c r="V18" s="60">
        <f t="shared" si="13"/>
        <v>35.701250000000002</v>
      </c>
      <c r="W18" s="60"/>
      <c r="X18" s="60">
        <f t="shared" si="14"/>
        <v>35.701250000000002</v>
      </c>
      <c r="Y18" s="86">
        <f t="shared" si="15"/>
        <v>0.1373125</v>
      </c>
      <c r="Z18" s="298"/>
      <c r="AA18" s="299">
        <f t="shared" si="3"/>
        <v>327.54569240000001</v>
      </c>
      <c r="AB18" s="300">
        <f t="shared" si="3"/>
        <v>1.1767584592328768</v>
      </c>
    </row>
    <row r="19" spans="1:28" ht="18" customHeight="1">
      <c r="A19" s="75" t="s">
        <v>39</v>
      </c>
      <c r="B19" s="294">
        <v>1518171</v>
      </c>
      <c r="C19" s="294">
        <f t="shared" si="4"/>
        <v>5407.1843835616437</v>
      </c>
      <c r="D19" s="181">
        <f t="shared" si="5"/>
        <v>0.23046113144580918</v>
      </c>
      <c r="E19" s="60">
        <f t="shared" si="6"/>
        <v>1927.4699016</v>
      </c>
      <c r="F19" s="86">
        <f t="shared" si="7"/>
        <v>6.8649612933698627</v>
      </c>
      <c r="G19" s="295"/>
      <c r="H19" s="60">
        <f t="shared" si="8"/>
        <v>209.50759800000003</v>
      </c>
      <c r="I19" s="86">
        <f t="shared" si="9"/>
        <v>0.74619144493150691</v>
      </c>
      <c r="J19" s="295"/>
      <c r="K19" s="60">
        <f t="shared" si="10"/>
        <v>335.2121568</v>
      </c>
      <c r="L19" s="222">
        <f t="shared" si="0"/>
        <v>1.193906311890411</v>
      </c>
      <c r="M19" s="295"/>
      <c r="N19" s="60">
        <f t="shared" si="11"/>
        <v>335.2121568</v>
      </c>
      <c r="O19" s="86">
        <f t="shared" si="1"/>
        <v>1.193906311890411</v>
      </c>
      <c r="P19" s="295"/>
      <c r="Q19" s="250">
        <f t="shared" si="2"/>
        <v>2807.4018132000001</v>
      </c>
      <c r="R19" s="297">
        <f t="shared" si="2"/>
        <v>9.9989653620821919</v>
      </c>
      <c r="S19" s="295"/>
      <c r="T19" s="173">
        <v>1258</v>
      </c>
      <c r="U19" s="60">
        <f t="shared" si="12"/>
        <v>4.8384615384615381</v>
      </c>
      <c r="V19" s="60">
        <f t="shared" si="13"/>
        <v>345.47825</v>
      </c>
      <c r="W19" s="60">
        <v>12.6</v>
      </c>
      <c r="X19" s="60">
        <f t="shared" si="14"/>
        <v>332.87824999999998</v>
      </c>
      <c r="Y19" s="86">
        <f t="shared" si="15"/>
        <v>1.2803009615384615</v>
      </c>
      <c r="Z19" s="298"/>
      <c r="AA19" s="299">
        <f t="shared" si="3"/>
        <v>3140.2800631999999</v>
      </c>
      <c r="AB19" s="300">
        <f t="shared" si="3"/>
        <v>11.279266323620654</v>
      </c>
    </row>
    <row r="20" spans="1:28" ht="18" customHeight="1">
      <c r="A20" s="75" t="s">
        <v>40</v>
      </c>
      <c r="B20" s="294">
        <v>10142</v>
      </c>
      <c r="C20" s="294">
        <f t="shared" si="4"/>
        <v>36.122191780821922</v>
      </c>
      <c r="D20" s="181">
        <f t="shared" si="5"/>
        <v>1.5395741290825584E-3</v>
      </c>
      <c r="E20" s="60">
        <f t="shared" si="6"/>
        <v>12.8762832</v>
      </c>
      <c r="F20" s="86">
        <f t="shared" si="7"/>
        <v>4.5860734684931508E-2</v>
      </c>
      <c r="G20" s="295"/>
      <c r="H20" s="60">
        <f t="shared" si="8"/>
        <v>1.3995960000000001</v>
      </c>
      <c r="I20" s="86">
        <f t="shared" si="9"/>
        <v>4.984862465753425E-3</v>
      </c>
      <c r="J20" s="295"/>
      <c r="K20" s="60">
        <f t="shared" si="10"/>
        <v>2.2393535999999998</v>
      </c>
      <c r="L20" s="222">
        <f t="shared" si="0"/>
        <v>7.9757799452054787E-3</v>
      </c>
      <c r="M20" s="295"/>
      <c r="N20" s="60">
        <f t="shared" si="11"/>
        <v>2.2393535999999998</v>
      </c>
      <c r="O20" s="86">
        <f t="shared" si="1"/>
        <v>7.9757799452054787E-3</v>
      </c>
      <c r="P20" s="295"/>
      <c r="Q20" s="250">
        <f t="shared" si="2"/>
        <v>18.754586400000001</v>
      </c>
      <c r="R20" s="297">
        <f t="shared" si="2"/>
        <v>6.6797157041095886E-2</v>
      </c>
      <c r="S20" s="295"/>
      <c r="T20" s="173">
        <v>19</v>
      </c>
      <c r="U20" s="60">
        <f t="shared" si="12"/>
        <v>7.3076923076923081E-2</v>
      </c>
      <c r="V20" s="60">
        <f t="shared" si="13"/>
        <v>5.2178750000000003</v>
      </c>
      <c r="W20" s="60"/>
      <c r="X20" s="60">
        <f t="shared" si="14"/>
        <v>5.2178750000000003</v>
      </c>
      <c r="Y20" s="86">
        <f t="shared" si="15"/>
        <v>2.006875E-2</v>
      </c>
      <c r="Z20" s="298"/>
      <c r="AA20" s="299">
        <f t="shared" si="3"/>
        <v>23.9724614</v>
      </c>
      <c r="AB20" s="300">
        <f t="shared" si="3"/>
        <v>8.6865907041095883E-2</v>
      </c>
    </row>
    <row r="21" spans="1:28" ht="18" customHeight="1">
      <c r="A21" s="75" t="s">
        <v>41</v>
      </c>
      <c r="B21" s="294">
        <v>675436</v>
      </c>
      <c r="C21" s="294">
        <f t="shared" si="4"/>
        <v>2405.6624657534248</v>
      </c>
      <c r="D21" s="181">
        <f t="shared" si="5"/>
        <v>0.10253241879816671</v>
      </c>
      <c r="E21" s="60">
        <f t="shared" si="6"/>
        <v>857.53354560000002</v>
      </c>
      <c r="F21" s="86">
        <f t="shared" si="7"/>
        <v>3.0542290665205485</v>
      </c>
      <c r="G21" s="295"/>
      <c r="H21" s="60">
        <f t="shared" si="8"/>
        <v>93.21016800000001</v>
      </c>
      <c r="I21" s="86">
        <f t="shared" si="9"/>
        <v>0.3319814202739727</v>
      </c>
      <c r="J21" s="295"/>
      <c r="K21" s="60">
        <f t="shared" si="10"/>
        <v>149.13626879999998</v>
      </c>
      <c r="L21" s="222">
        <f t="shared" si="0"/>
        <v>0.53117027243835613</v>
      </c>
      <c r="M21" s="295"/>
      <c r="N21" s="60">
        <f t="shared" si="11"/>
        <v>149.13626879999998</v>
      </c>
      <c r="O21" s="86">
        <f t="shared" si="1"/>
        <v>0.53117027243835613</v>
      </c>
      <c r="P21" s="295"/>
      <c r="Q21" s="250">
        <f t="shared" si="2"/>
        <v>1249.0162511999999</v>
      </c>
      <c r="R21" s="297">
        <f t="shared" si="2"/>
        <v>4.4485510316712338</v>
      </c>
      <c r="S21" s="295"/>
      <c r="T21" s="173">
        <v>604</v>
      </c>
      <c r="U21" s="60">
        <f t="shared" si="12"/>
        <v>2.3230769230769233</v>
      </c>
      <c r="V21" s="60">
        <f t="shared" si="13"/>
        <v>165.87350000000001</v>
      </c>
      <c r="W21" s="60">
        <v>4.4000000000000004</v>
      </c>
      <c r="X21" s="60">
        <f t="shared" si="14"/>
        <v>161.4735</v>
      </c>
      <c r="Y21" s="86">
        <f t="shared" si="15"/>
        <v>0.62105192307692303</v>
      </c>
      <c r="Z21" s="298"/>
      <c r="AA21" s="299">
        <f t="shared" si="3"/>
        <v>1410.4897512</v>
      </c>
      <c r="AB21" s="300">
        <f t="shared" si="3"/>
        <v>5.0696029547481567</v>
      </c>
    </row>
    <row r="22" spans="1:28" ht="18" customHeight="1">
      <c r="A22" s="75" t="s">
        <v>42</v>
      </c>
      <c r="B22" s="294">
        <v>497579</v>
      </c>
      <c r="C22" s="294">
        <f t="shared" si="4"/>
        <v>1772.199178082192</v>
      </c>
      <c r="D22" s="181">
        <f t="shared" si="5"/>
        <v>7.5533401259590835E-2</v>
      </c>
      <c r="E22" s="60">
        <f t="shared" si="6"/>
        <v>631.72629840000013</v>
      </c>
      <c r="F22" s="86">
        <f t="shared" si="7"/>
        <v>2.2499840764931514</v>
      </c>
      <c r="G22" s="295"/>
      <c r="H22" s="60">
        <f t="shared" si="8"/>
        <v>68.665902000000003</v>
      </c>
      <c r="I22" s="86">
        <f t="shared" si="9"/>
        <v>0.24456348657534249</v>
      </c>
      <c r="J22" s="295"/>
      <c r="K22" s="60">
        <f t="shared" si="10"/>
        <v>109.86544319999999</v>
      </c>
      <c r="L22" s="222">
        <f t="shared" si="0"/>
        <v>0.39130157852054792</v>
      </c>
      <c r="M22" s="295"/>
      <c r="N22" s="60">
        <f t="shared" si="11"/>
        <v>109.86544319999999</v>
      </c>
      <c r="O22" s="86">
        <f t="shared" si="1"/>
        <v>0.39130157852054792</v>
      </c>
      <c r="P22" s="295"/>
      <c r="Q22" s="250">
        <f t="shared" si="2"/>
        <v>920.12308680000001</v>
      </c>
      <c r="R22" s="297">
        <f t="shared" si="2"/>
        <v>3.2771507201095895</v>
      </c>
      <c r="S22" s="295"/>
      <c r="T22" s="173">
        <v>418</v>
      </c>
      <c r="U22" s="60">
        <f t="shared" si="12"/>
        <v>1.6076923076923078</v>
      </c>
      <c r="V22" s="60">
        <f t="shared" si="13"/>
        <v>114.79325</v>
      </c>
      <c r="W22" s="60">
        <v>13.4</v>
      </c>
      <c r="X22" s="60">
        <f t="shared" si="14"/>
        <v>101.39324999999999</v>
      </c>
      <c r="Y22" s="86">
        <f t="shared" si="15"/>
        <v>0.38997403846153844</v>
      </c>
      <c r="Z22" s="298"/>
      <c r="AA22" s="299">
        <f t="shared" si="3"/>
        <v>1021.5163368</v>
      </c>
      <c r="AB22" s="300">
        <f t="shared" si="3"/>
        <v>3.667124758571128</v>
      </c>
    </row>
    <row r="23" spans="1:28" ht="18" customHeight="1">
      <c r="A23" s="75" t="s">
        <v>43</v>
      </c>
      <c r="B23" s="294">
        <v>730932</v>
      </c>
      <c r="C23" s="294">
        <f t="shared" si="4"/>
        <v>2603.3194520547945</v>
      </c>
      <c r="D23" s="181">
        <f t="shared" si="5"/>
        <v>0.11095681298743566</v>
      </c>
      <c r="E23" s="60">
        <f t="shared" si="6"/>
        <v>927.99126720000004</v>
      </c>
      <c r="F23" s="86">
        <f t="shared" si="7"/>
        <v>3.3051743763287673</v>
      </c>
      <c r="G23" s="295"/>
      <c r="H23" s="60">
        <f t="shared" si="8"/>
        <v>100.868616</v>
      </c>
      <c r="I23" s="86">
        <f t="shared" si="9"/>
        <v>0.35925808438356172</v>
      </c>
      <c r="J23" s="295"/>
      <c r="K23" s="60">
        <f t="shared" si="10"/>
        <v>161.38978560000001</v>
      </c>
      <c r="L23" s="222">
        <f t="shared" si="0"/>
        <v>0.57481293501369868</v>
      </c>
      <c r="M23" s="295"/>
      <c r="N23" s="60">
        <f t="shared" si="11"/>
        <v>161.38978560000001</v>
      </c>
      <c r="O23" s="86">
        <f t="shared" si="1"/>
        <v>0.57481293501369868</v>
      </c>
      <c r="P23" s="295"/>
      <c r="Q23" s="250">
        <f t="shared" si="2"/>
        <v>1351.6394544000002</v>
      </c>
      <c r="R23" s="297">
        <f t="shared" si="2"/>
        <v>4.8140583307397264</v>
      </c>
      <c r="S23" s="295"/>
      <c r="T23" s="173">
        <v>685</v>
      </c>
      <c r="U23" s="60">
        <f t="shared" si="12"/>
        <v>2.6346153846153846</v>
      </c>
      <c r="V23" s="60">
        <f t="shared" si="13"/>
        <v>188.11812499999999</v>
      </c>
      <c r="W23" s="60">
        <v>7.5</v>
      </c>
      <c r="X23" s="60">
        <f t="shared" si="14"/>
        <v>180.61812499999999</v>
      </c>
      <c r="Y23" s="86">
        <f t="shared" si="15"/>
        <v>0.6946850961538461</v>
      </c>
      <c r="Z23" s="298"/>
      <c r="AA23" s="299">
        <f t="shared" si="3"/>
        <v>1532.2575794000002</v>
      </c>
      <c r="AB23" s="300">
        <f t="shared" si="3"/>
        <v>5.5087434268935729</v>
      </c>
    </row>
    <row r="24" spans="1:28" ht="18" customHeight="1">
      <c r="A24" s="75" t="s">
        <v>117</v>
      </c>
      <c r="B24" s="294">
        <v>801227</v>
      </c>
      <c r="C24" s="294">
        <f t="shared" si="4"/>
        <v>2853.6852054794526</v>
      </c>
      <c r="D24" s="181">
        <f t="shared" si="5"/>
        <v>0.1216277224139648</v>
      </c>
      <c r="E24" s="60">
        <f t="shared" si="6"/>
        <v>1017.2377992</v>
      </c>
      <c r="F24" s="86">
        <f t="shared" si="7"/>
        <v>3.6230387368767123</v>
      </c>
      <c r="G24" s="295"/>
      <c r="H24" s="60">
        <f t="shared" si="8"/>
        <v>110.56932600000002</v>
      </c>
      <c r="I24" s="86">
        <f t="shared" si="9"/>
        <v>0.39380855835616446</v>
      </c>
      <c r="J24" s="295"/>
      <c r="K24" s="60">
        <f t="shared" si="10"/>
        <v>176.91092159999999</v>
      </c>
      <c r="L24" s="222">
        <f t="shared" si="0"/>
        <v>0.63009369336986298</v>
      </c>
      <c r="M24" s="295"/>
      <c r="N24" s="60">
        <f t="shared" si="11"/>
        <v>176.91092159999999</v>
      </c>
      <c r="O24" s="86">
        <f t="shared" si="1"/>
        <v>0.63009369336986298</v>
      </c>
      <c r="P24" s="295"/>
      <c r="Q24" s="250">
        <f t="shared" si="2"/>
        <v>1481.6289683999998</v>
      </c>
      <c r="R24" s="297">
        <f t="shared" si="2"/>
        <v>5.2770346819726033</v>
      </c>
      <c r="S24" s="295"/>
      <c r="T24" s="173">
        <v>749</v>
      </c>
      <c r="U24" s="60">
        <f t="shared" si="12"/>
        <v>2.8807692307692307</v>
      </c>
      <c r="V24" s="60">
        <f t="shared" si="13"/>
        <v>205.69412500000001</v>
      </c>
      <c r="W24" s="60"/>
      <c r="X24" s="60">
        <f t="shared" si="14"/>
        <v>205.69412500000001</v>
      </c>
      <c r="Y24" s="86">
        <f t="shared" si="15"/>
        <v>0.79113125000000006</v>
      </c>
      <c r="Z24" s="298"/>
      <c r="AA24" s="299">
        <f>SUM(E24,H24,K24,N24,X24)</f>
        <v>1687.3230933999998</v>
      </c>
      <c r="AB24" s="300">
        <f t="shared" si="3"/>
        <v>6.0681659319726036</v>
      </c>
    </row>
    <row r="25" spans="1:28" ht="18" customHeight="1">
      <c r="A25" s="242" t="s">
        <v>118</v>
      </c>
      <c r="B25" s="242" t="s">
        <v>119</v>
      </c>
      <c r="C25" s="242" t="s">
        <v>118</v>
      </c>
      <c r="D25" s="242" t="s">
        <v>118</v>
      </c>
      <c r="E25" s="242" t="s">
        <v>118</v>
      </c>
      <c r="F25" s="242" t="s">
        <v>118</v>
      </c>
      <c r="G25" s="242" t="s">
        <v>118</v>
      </c>
      <c r="H25" s="242" t="s">
        <v>118</v>
      </c>
      <c r="I25" s="242" t="s">
        <v>118</v>
      </c>
      <c r="J25" s="242" t="s">
        <v>118</v>
      </c>
      <c r="K25" s="242" t="s">
        <v>118</v>
      </c>
      <c r="L25" s="242" t="s">
        <v>118</v>
      </c>
      <c r="M25" s="242" t="s">
        <v>118</v>
      </c>
      <c r="N25" s="242" t="s">
        <v>118</v>
      </c>
      <c r="O25" s="242" t="s">
        <v>118</v>
      </c>
      <c r="P25" s="301"/>
      <c r="Q25" s="242" t="s">
        <v>118</v>
      </c>
      <c r="R25" s="252" t="s">
        <v>118</v>
      </c>
      <c r="S25" s="301"/>
      <c r="T25" s="242" t="s">
        <v>118</v>
      </c>
      <c r="U25" s="242" t="s">
        <v>118</v>
      </c>
      <c r="V25" s="242" t="s">
        <v>118</v>
      </c>
      <c r="W25" s="242" t="s">
        <v>118</v>
      </c>
      <c r="X25" s="242" t="s">
        <v>118</v>
      </c>
      <c r="Y25" s="242" t="s">
        <v>118</v>
      </c>
      <c r="Z25" s="243"/>
      <c r="AA25" s="242" t="s">
        <v>118</v>
      </c>
      <c r="AB25" s="242" t="s">
        <v>118</v>
      </c>
    </row>
    <row r="26" spans="1:28" s="96" customFormat="1" ht="18" customHeight="1">
      <c r="A26" s="96" t="s">
        <v>46</v>
      </c>
      <c r="B26" s="302">
        <f>SUM(B11:B24)</f>
        <v>6587536</v>
      </c>
      <c r="C26" s="294">
        <f t="shared" si="4"/>
        <v>23462.456986301371</v>
      </c>
      <c r="D26" s="181">
        <f t="shared" si="5"/>
        <v>1</v>
      </c>
      <c r="E26" s="60">
        <f t="shared" si="6"/>
        <v>8363.5357055999993</v>
      </c>
      <c r="F26" s="70">
        <f t="shared" si="7"/>
        <v>29.787935389808215</v>
      </c>
      <c r="G26" s="292"/>
      <c r="H26" s="60">
        <f t="shared" si="8"/>
        <v>909.07996800000012</v>
      </c>
      <c r="I26" s="70">
        <f t="shared" si="9"/>
        <v>3.2378190641095896</v>
      </c>
      <c r="J26" s="292"/>
      <c r="K26" s="60">
        <f t="shared" si="10"/>
        <v>1454.5279487999999</v>
      </c>
      <c r="L26" s="219">
        <f>SUM(K26/365)*1.3</f>
        <v>5.1805105025753422</v>
      </c>
      <c r="M26" s="303"/>
      <c r="N26" s="60">
        <f t="shared" si="11"/>
        <v>1454.5279487999999</v>
      </c>
      <c r="O26" s="70">
        <f>SUM(N26/365)*1.3</f>
        <v>5.1805105025753422</v>
      </c>
      <c r="P26" s="304"/>
      <c r="Q26" s="245">
        <f>SUM(Q11:Q24)</f>
        <v>12181.6715712</v>
      </c>
      <c r="R26" s="297">
        <f>SUM(R11:R24)</f>
        <v>43.386775459068495</v>
      </c>
      <c r="S26" s="304"/>
      <c r="T26" s="67">
        <f>SUM(T11:T24)</f>
        <v>5593</v>
      </c>
      <c r="U26" s="60">
        <f t="shared" si="12"/>
        <v>21.511538461538461</v>
      </c>
      <c r="V26" s="60">
        <f t="shared" si="13"/>
        <v>1535.977625</v>
      </c>
      <c r="W26" s="68">
        <f>SUM(W11:W24)</f>
        <v>55.199999999999996</v>
      </c>
      <c r="X26" s="68">
        <f>SUM(X11:X24)</f>
        <v>1480.7776250000002</v>
      </c>
      <c r="Y26" s="70">
        <f t="shared" si="15"/>
        <v>5.6952985576923085</v>
      </c>
      <c r="Z26" s="224"/>
      <c r="AA26" s="68">
        <f>SUM(E26,H26,K26,N26,X26)</f>
        <v>13662.449196199999</v>
      </c>
      <c r="AB26" s="300">
        <f>SUM(F26,I26,L26,O26,Y26)</f>
        <v>49.082074016760807</v>
      </c>
    </row>
    <row r="27" spans="1:28" s="96" customFormat="1" ht="15" customHeight="1">
      <c r="E27" s="68"/>
      <c r="F27" s="70"/>
      <c r="G27" s="292"/>
      <c r="H27" s="68"/>
      <c r="I27" s="67"/>
      <c r="J27" s="303"/>
      <c r="K27" s="265"/>
      <c r="L27" s="265"/>
      <c r="M27" s="292"/>
      <c r="N27" s="233"/>
      <c r="P27" s="292"/>
      <c r="Q27" s="70"/>
      <c r="R27" s="70"/>
      <c r="S27" s="292"/>
      <c r="V27" s="67"/>
      <c r="Y27" s="70"/>
      <c r="Z27" s="305"/>
      <c r="AA27" s="68">
        <f>SUM(AA11:AA24)</f>
        <v>13662.449196199999</v>
      </c>
      <c r="AB27" s="70">
        <f>SUM(AB11:AB24)</f>
        <v>49.082074016760799</v>
      </c>
    </row>
    <row r="28" spans="1:28" s="96" customFormat="1" ht="15" customHeight="1">
      <c r="D28" s="96" t="s">
        <v>120</v>
      </c>
      <c r="E28" s="68">
        <f>SUM(E26-E29)</f>
        <v>7317.8144303999998</v>
      </c>
      <c r="F28" s="70">
        <f>SUM(F26-F29)</f>
        <v>26.063448656219173</v>
      </c>
      <c r="G28" s="292"/>
      <c r="H28" s="68">
        <f>SUM(H26-H29)</f>
        <v>795.41461200000015</v>
      </c>
      <c r="I28" s="70">
        <f>SUM(I26-I29)</f>
        <v>2.8329835495890419</v>
      </c>
      <c r="J28" s="292"/>
      <c r="K28" s="68">
        <f>SUM(K26-K29)</f>
        <v>1272.6633791999998</v>
      </c>
      <c r="L28" s="70">
        <f>SUM(L26-L29)</f>
        <v>4.5327736793424656</v>
      </c>
      <c r="M28" s="280"/>
      <c r="N28" s="68">
        <f>SUM(N26-N29)</f>
        <v>1272.6633791999998</v>
      </c>
      <c r="O28" s="70">
        <f>SUM(O26-O29)</f>
        <v>4.5327736793424656</v>
      </c>
      <c r="P28" s="306"/>
      <c r="Q28" s="68">
        <f>SUM(Q26-Q29)</f>
        <v>10658.555800800001</v>
      </c>
      <c r="R28" s="70">
        <f>SUM(R26-R29)</f>
        <v>37.961979564493149</v>
      </c>
      <c r="S28" s="280"/>
      <c r="T28" s="68">
        <f>SUM(T26-T29)</f>
        <v>4898</v>
      </c>
      <c r="U28" s="68"/>
      <c r="V28" s="68">
        <f>SUM(V26-V29)</f>
        <v>1345.1132499999999</v>
      </c>
      <c r="W28" s="68"/>
      <c r="X28" s="68">
        <f>SUM(X26-X29)</f>
        <v>1297.4132500000001</v>
      </c>
      <c r="Y28" s="70">
        <f>SUM(Y26-Y29)</f>
        <v>4.9900509615384623</v>
      </c>
      <c r="Z28" s="224"/>
      <c r="AA28" s="68">
        <f>SUM(AA26-AA29)</f>
        <v>11955.969050799999</v>
      </c>
      <c r="AB28" s="70">
        <f>SUM(AB26-AB29)</f>
        <v>42.952030526031621</v>
      </c>
    </row>
    <row r="29" spans="1:28" s="96" customFormat="1" ht="15" customHeight="1">
      <c r="D29" s="96" t="s">
        <v>121</v>
      </c>
      <c r="E29" s="68">
        <f>SUM(E12,E16,E17,E18)</f>
        <v>1045.7212751999998</v>
      </c>
      <c r="F29" s="70">
        <f>SUM(F12,F16,F17,F18)</f>
        <v>3.7244867335890413</v>
      </c>
      <c r="G29" s="292"/>
      <c r="H29" s="68">
        <f>SUM(H12,H16,H17,H18)</f>
        <v>113.665356</v>
      </c>
      <c r="I29" s="70">
        <f>SUM(I12,I16,I17,I18)</f>
        <v>0.40483551452054795</v>
      </c>
      <c r="J29" s="292"/>
      <c r="K29" s="68">
        <f>SUM(K12,K16,K17,K18)</f>
        <v>181.86456959999998</v>
      </c>
      <c r="L29" s="70">
        <f>SUM(L12,L16,L17,L18)</f>
        <v>0.64773682323287685</v>
      </c>
      <c r="M29" s="280"/>
      <c r="N29" s="68">
        <f>SUM(N12,N16,N17,N18)</f>
        <v>181.86456959999998</v>
      </c>
      <c r="O29" s="70">
        <f>SUM(O12,O16,O17,O18)</f>
        <v>0.64773682323287685</v>
      </c>
      <c r="P29" s="280"/>
      <c r="Q29" s="68">
        <f>SUM(Q12,Q16,Q17,Q18)</f>
        <v>1523.1157703999997</v>
      </c>
      <c r="R29" s="70">
        <f>SUM(R12,R16,R17,R18)</f>
        <v>5.4247958945753432</v>
      </c>
      <c r="S29" s="280"/>
      <c r="T29" s="68">
        <f>SUM(T12,T16,T17,T18)</f>
        <v>695</v>
      </c>
      <c r="U29" s="68"/>
      <c r="V29" s="68">
        <f>SUM(V12,V16,V17,V18)</f>
        <v>190.864375</v>
      </c>
      <c r="W29" s="68"/>
      <c r="X29" s="68">
        <f>SUM(X12,X16,X17,X18)</f>
        <v>183.364375</v>
      </c>
      <c r="Y29" s="70">
        <f>SUM(Y12,Y16,Y17,Y18)</f>
        <v>0.70524759615384625</v>
      </c>
      <c r="Z29" s="224"/>
      <c r="AA29" s="68">
        <f>SUM(AA12,AA16,AA17,AA18)</f>
        <v>1706.4801453999999</v>
      </c>
      <c r="AB29" s="70">
        <f>SUM(AB12,AB16,AB17,AB18)</f>
        <v>6.1300434907291894</v>
      </c>
    </row>
    <row r="30" spans="1:28" ht="15" customHeight="1">
      <c r="AA30" s="60"/>
    </row>
    <row r="31" spans="1:28" ht="15" customHeight="1">
      <c r="L31" s="75"/>
      <c r="M31" s="75"/>
      <c r="O31" s="75"/>
      <c r="P31" s="75"/>
      <c r="Q31" s="75"/>
      <c r="R31" s="75"/>
      <c r="S31" s="68"/>
      <c r="AA31" s="60"/>
    </row>
    <row r="32" spans="1:28" ht="15" customHeight="1">
      <c r="L32" s="75"/>
      <c r="M32" s="75"/>
      <c r="O32" s="75"/>
      <c r="P32" s="68"/>
      <c r="Q32" s="68"/>
      <c r="R32" s="68"/>
      <c r="S32" s="68"/>
    </row>
    <row r="34" spans="9:24" ht="15" customHeight="1">
      <c r="I34" s="75"/>
    </row>
    <row r="35" spans="9:24" ht="15" customHeight="1">
      <c r="O35" s="75"/>
      <c r="V35" s="119"/>
      <c r="W35" s="119"/>
      <c r="X35" s="119"/>
    </row>
    <row r="37" spans="9:24" ht="15" customHeight="1">
      <c r="O37" s="307"/>
      <c r="V37" s="119"/>
      <c r="W37" s="119"/>
      <c r="X37" s="119"/>
    </row>
    <row r="38" spans="9:24" ht="15" customHeight="1">
      <c r="I38" s="75"/>
      <c r="N38" s="124" t="s">
        <v>86</v>
      </c>
    </row>
  </sheetData>
  <phoneticPr fontId="0" type="noConversion"/>
  <printOptions gridLines="1" gridLinesSet="0"/>
  <pageMargins left="0.5" right="0.25" top="0.5" bottom="0.5" header="0.5" footer="0.5"/>
  <pageSetup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H39"/>
  <sheetViews>
    <sheetView workbookViewId="0">
      <selection sqref="A1:IV65536"/>
    </sheetView>
  </sheetViews>
  <sheetFormatPr defaultColWidth="11.140625" defaultRowHeight="12.75"/>
  <cols>
    <col min="1" max="1" width="5.7109375" style="46" customWidth="1"/>
    <col min="2" max="2" width="8" style="54" customWidth="1"/>
    <col min="3" max="3" width="8.28515625" style="54" customWidth="1"/>
    <col min="4" max="4" width="9" style="46" customWidth="1"/>
    <col min="5" max="5" width="6.85546875" style="46" customWidth="1"/>
    <col min="6" max="6" width="8.85546875" style="46" customWidth="1"/>
    <col min="7" max="7" width="6.5703125" style="46" customWidth="1"/>
    <col min="8" max="8" width="8.28515625" style="46" customWidth="1"/>
    <col min="9" max="9" width="9.7109375" style="46" customWidth="1"/>
    <col min="10" max="10" width="6.42578125" style="65" customWidth="1"/>
    <col min="11" max="11" width="6.140625" style="65" customWidth="1"/>
    <col min="12" max="12" width="0.7109375" style="65" customWidth="1"/>
    <col min="13" max="13" width="7.42578125" style="65" customWidth="1"/>
    <col min="14" max="14" width="5.7109375" style="65" customWidth="1"/>
    <col min="15" max="15" width="8.42578125" style="65" customWidth="1"/>
    <col min="16" max="16" width="8.140625" style="65" customWidth="1"/>
    <col min="17" max="17" width="7.140625" style="65" customWidth="1"/>
    <col min="18" max="18" width="6.140625" style="65" customWidth="1"/>
    <col min="19" max="19" width="0.7109375" style="65" customWidth="1"/>
    <col min="20" max="20" width="7.42578125" style="65" customWidth="1"/>
    <col min="21" max="21" width="10.140625" style="46" customWidth="1"/>
    <col min="22" max="22" width="6.42578125" style="46" customWidth="1"/>
    <col min="23" max="23" width="8.5703125" style="46" customWidth="1"/>
    <col min="24" max="24" width="7.85546875" style="46" customWidth="1"/>
    <col min="25" max="25" width="6.5703125" style="65" customWidth="1"/>
    <col min="26" max="26" width="5.85546875" style="65" customWidth="1"/>
    <col min="27" max="27" width="0.7109375" style="65" customWidth="1"/>
    <col min="28" max="28" width="8.28515625" style="46" customWidth="1"/>
    <col min="29" max="29" width="5.28515625" style="46" customWidth="1"/>
    <col min="30" max="30" width="8.42578125" style="46" customWidth="1"/>
    <col min="31" max="31" width="7.5703125" style="65" customWidth="1"/>
    <col min="32" max="32" width="0.7109375" style="65" customWidth="1"/>
    <col min="33" max="33" width="10" style="46" customWidth="1"/>
    <col min="34" max="34" width="6.140625" style="46" customWidth="1"/>
    <col min="35" max="35" width="10.28515625" style="46" customWidth="1"/>
    <col min="36" max="36" width="7.7109375" style="46" customWidth="1"/>
    <col min="37" max="37" width="8.140625" style="65" customWidth="1"/>
    <col min="38" max="38" width="6.42578125" style="65" customWidth="1"/>
    <col min="39" max="39" width="0.7109375" style="65" customWidth="1"/>
    <col min="40" max="40" width="12.7109375" style="46" customWidth="1"/>
    <col min="41" max="41" width="9.140625" style="46" customWidth="1"/>
    <col min="42" max="42" width="9.7109375" style="65" customWidth="1"/>
    <col min="43" max="43" width="7.85546875" style="65" customWidth="1"/>
    <col min="44" max="44" width="0.7109375" style="65" customWidth="1"/>
    <col min="45" max="45" width="10" style="46" customWidth="1"/>
    <col min="46" max="46" width="11.5703125" style="65" customWidth="1"/>
    <col min="47" max="47" width="10.7109375" style="65" customWidth="1"/>
    <col min="48" max="48" width="0.85546875" style="65" customWidth="1"/>
    <col min="49" max="50" width="9" style="65" customWidth="1"/>
    <col min="51" max="51" width="9.7109375" style="65" customWidth="1"/>
    <col min="52" max="52" width="8.28515625" style="65" customWidth="1"/>
    <col min="53" max="53" width="13.7109375" style="65" customWidth="1"/>
    <col min="54" max="54" width="10.42578125" style="65" customWidth="1"/>
    <col min="55" max="55" width="0.85546875" style="65" customWidth="1"/>
    <col min="56" max="56" width="6.28515625" style="46" customWidth="1"/>
    <col min="57" max="57" width="4.7109375" style="46" customWidth="1"/>
    <col min="58" max="58" width="8.85546875" style="46" customWidth="1"/>
    <col min="59" max="59" width="8.140625" style="46" customWidth="1"/>
    <col min="60" max="60" width="6.28515625" style="46" customWidth="1"/>
    <col min="61" max="61" width="6.140625" style="46" customWidth="1"/>
    <col min="62" max="62" width="0.85546875" style="46" customWidth="1"/>
    <col min="63" max="63" width="7.7109375" style="46" customWidth="1"/>
    <col min="64" max="64" width="5" style="46" customWidth="1"/>
    <col min="65" max="65" width="8.7109375" style="46" customWidth="1"/>
    <col min="66" max="66" width="7.85546875" style="46" customWidth="1"/>
    <col min="67" max="67" width="8.42578125" style="65" customWidth="1"/>
    <col min="68" max="68" width="5.42578125" style="65" customWidth="1"/>
    <col min="69" max="69" width="0.85546875" style="65" customWidth="1"/>
    <col min="70" max="70" width="10" style="46" customWidth="1"/>
    <col min="71" max="71" width="5.5703125" style="46" customWidth="1"/>
    <col min="72" max="72" width="8.85546875" style="46" customWidth="1"/>
    <col min="73" max="73" width="6.5703125" style="46" customWidth="1"/>
    <col min="74" max="74" width="8.85546875" style="65" customWidth="1"/>
    <col min="75" max="75" width="5.85546875" style="65" customWidth="1"/>
    <col min="76" max="76" width="0.7109375" style="65" customWidth="1"/>
    <col min="77" max="77" width="5.140625" style="46" customWidth="1"/>
    <col min="78" max="79" width="6" style="46" customWidth="1"/>
    <col min="80" max="80" width="8.85546875" style="46" customWidth="1"/>
    <col min="81" max="81" width="5.28515625" style="46" customWidth="1"/>
    <col min="82" max="82" width="6.85546875" style="65" customWidth="1"/>
    <col min="83" max="83" width="6" style="65" customWidth="1"/>
    <col min="84" max="84" width="0.7109375" style="65" customWidth="1"/>
    <col min="85" max="86" width="6.42578125" style="65" customWidth="1"/>
    <col min="87" max="87" width="6.7109375" style="46" customWidth="1"/>
    <col min="88" max="88" width="5.28515625" style="46" customWidth="1"/>
    <col min="89" max="90" width="6" style="65" customWidth="1"/>
    <col min="91" max="91" width="0.85546875" style="65" customWidth="1"/>
    <col min="92" max="92" width="4.5703125" style="65" customWidth="1"/>
    <col min="93" max="93" width="5.42578125" style="65" customWidth="1"/>
    <col min="94" max="94" width="6.140625" style="65" customWidth="1"/>
    <col min="95" max="95" width="6" style="65" customWidth="1"/>
    <col min="96" max="96" width="6.140625" style="65" customWidth="1"/>
    <col min="97" max="97" width="6" style="201" customWidth="1"/>
    <col min="98" max="98" width="0.7109375" style="201" customWidth="1"/>
    <col min="99" max="99" width="8.28515625" style="65" customWidth="1"/>
    <col min="100" max="100" width="7.140625" style="65" customWidth="1"/>
    <col min="101" max="101" width="0.7109375" style="65" customWidth="1"/>
    <col min="102" max="102" width="6" style="65" customWidth="1"/>
    <col min="103" max="103" width="10.28515625" style="46" customWidth="1"/>
    <col min="104" max="104" width="17.7109375" style="65" customWidth="1"/>
    <col min="105" max="105" width="15.42578125" style="46" customWidth="1"/>
    <col min="106" max="106" width="13.5703125" style="46" customWidth="1"/>
    <col min="107" max="107" width="20.7109375" style="46" customWidth="1"/>
    <col min="108" max="108" width="14.5703125" style="46" customWidth="1"/>
    <col min="109" max="109" width="8.7109375" style="46" customWidth="1"/>
    <col min="110" max="110" width="15.42578125" style="46" customWidth="1"/>
    <col min="111" max="111" width="13.28515625" style="46" customWidth="1"/>
    <col min="112" max="112" width="2.85546875" style="46" customWidth="1"/>
    <col min="113" max="16384" width="11.140625" style="46"/>
  </cols>
  <sheetData>
    <row r="1" spans="1:111" ht="18" customHeight="1">
      <c r="C1" s="46"/>
      <c r="D1" s="61" t="s">
        <v>336</v>
      </c>
      <c r="X1" s="61" t="s">
        <v>380</v>
      </c>
      <c r="Y1" s="46"/>
      <c r="AP1" s="61" t="s">
        <v>380</v>
      </c>
      <c r="AU1" s="61"/>
      <c r="AV1" s="61"/>
      <c r="AW1" s="61"/>
      <c r="AX1" s="61"/>
      <c r="AY1" s="61"/>
      <c r="AZ1" s="61"/>
      <c r="BA1" s="61"/>
      <c r="BB1" s="61"/>
      <c r="BC1" s="61"/>
      <c r="BG1" s="61" t="s">
        <v>381</v>
      </c>
      <c r="BN1" s="61"/>
      <c r="BO1" s="61"/>
      <c r="CA1" s="61"/>
      <c r="CC1" s="61" t="s">
        <v>380</v>
      </c>
      <c r="CU1" s="61"/>
      <c r="DB1" s="61"/>
    </row>
    <row r="2" spans="1:111" ht="15" customHeight="1">
      <c r="A2" s="45" t="s">
        <v>337</v>
      </c>
      <c r="T2" s="45" t="s">
        <v>337</v>
      </c>
      <c r="AA2" s="45"/>
      <c r="AN2" s="45" t="s">
        <v>337</v>
      </c>
      <c r="AO2" s="45"/>
      <c r="BD2" s="45" t="s">
        <v>337</v>
      </c>
      <c r="BE2" s="45"/>
      <c r="BF2" s="45"/>
      <c r="BG2" s="45"/>
      <c r="BH2" s="45"/>
      <c r="BI2" s="45"/>
      <c r="BJ2" s="45"/>
      <c r="BY2" s="45" t="s">
        <v>337</v>
      </c>
      <c r="CV2" s="61"/>
      <c r="CW2" s="61"/>
      <c r="CX2" s="61"/>
    </row>
    <row r="3" spans="1:111" s="65" customFormat="1" ht="22.5" customHeight="1">
      <c r="B3" s="53"/>
      <c r="C3" s="53"/>
      <c r="F3" s="61" t="s">
        <v>123</v>
      </c>
      <c r="G3" s="61"/>
      <c r="L3" s="202"/>
      <c r="M3" s="65" t="s">
        <v>124</v>
      </c>
      <c r="S3" s="202"/>
      <c r="U3" s="61" t="s">
        <v>125</v>
      </c>
      <c r="V3" s="61"/>
      <c r="W3" s="61"/>
      <c r="X3" s="61"/>
      <c r="Y3" s="61"/>
      <c r="AA3" s="202"/>
      <c r="AB3" s="203" t="s">
        <v>343</v>
      </c>
      <c r="AC3" s="203"/>
      <c r="AF3" s="202"/>
      <c r="AG3" s="61" t="s">
        <v>126</v>
      </c>
      <c r="AH3" s="61"/>
      <c r="AI3" s="61"/>
      <c r="AJ3" s="61"/>
      <c r="AM3" s="202"/>
      <c r="AO3" s="203" t="s">
        <v>127</v>
      </c>
      <c r="AR3" s="202"/>
      <c r="AS3" s="61" t="s">
        <v>128</v>
      </c>
      <c r="AV3" s="202"/>
      <c r="AW3" s="61" t="s">
        <v>129</v>
      </c>
      <c r="AX3" s="61"/>
      <c r="BC3" s="202"/>
      <c r="BD3" s="61" t="s">
        <v>130</v>
      </c>
      <c r="BJ3" s="202"/>
      <c r="BK3" s="61" t="s">
        <v>131</v>
      </c>
      <c r="BL3" s="61"/>
      <c r="BQ3" s="202"/>
      <c r="BR3" s="61" t="s">
        <v>132</v>
      </c>
      <c r="BS3" s="61"/>
      <c r="BX3" s="202"/>
      <c r="BZ3" s="61" t="s">
        <v>133</v>
      </c>
      <c r="CA3" s="61"/>
      <c r="CF3" s="202"/>
      <c r="CG3" s="65" t="s">
        <v>134</v>
      </c>
      <c r="CI3" s="46"/>
      <c r="CJ3" s="46"/>
      <c r="CM3" s="202"/>
      <c r="CP3" s="61" t="s">
        <v>135</v>
      </c>
      <c r="CT3" s="202"/>
      <c r="CU3" s="61" t="s">
        <v>367</v>
      </c>
      <c r="CW3" s="50"/>
      <c r="CX3" s="50"/>
      <c r="CZ3" s="45"/>
    </row>
    <row r="4" spans="1:111" s="65" customFormat="1">
      <c r="B4" s="53"/>
      <c r="C4" s="53"/>
      <c r="F4" s="45" t="s">
        <v>136</v>
      </c>
      <c r="G4" s="45"/>
      <c r="L4" s="202"/>
      <c r="N4" s="46" t="s">
        <v>351</v>
      </c>
      <c r="S4" s="202"/>
      <c r="W4" s="45"/>
      <c r="X4" s="45" t="s">
        <v>137</v>
      </c>
      <c r="Y4" s="61"/>
      <c r="AA4" s="202"/>
      <c r="AD4" s="45" t="s">
        <v>138</v>
      </c>
      <c r="AF4" s="202"/>
      <c r="AG4" s="45" t="s">
        <v>139</v>
      </c>
      <c r="AH4" s="45"/>
      <c r="AI4" s="61"/>
      <c r="AJ4" s="61"/>
      <c r="AM4" s="202"/>
      <c r="AN4" s="65" t="s">
        <v>355</v>
      </c>
      <c r="AP4" s="203" t="s">
        <v>140</v>
      </c>
      <c r="AR4" s="202"/>
      <c r="AS4" s="45" t="s">
        <v>141</v>
      </c>
      <c r="AU4" s="65" t="s">
        <v>357</v>
      </c>
      <c r="AV4" s="202"/>
      <c r="AW4" s="61"/>
      <c r="AX4" s="61"/>
      <c r="BC4" s="202"/>
      <c r="BE4" s="45" t="s">
        <v>142</v>
      </c>
      <c r="BJ4" s="202"/>
      <c r="BK4" s="46" t="s">
        <v>143</v>
      </c>
      <c r="BL4" s="46"/>
      <c r="BQ4" s="202"/>
      <c r="BR4" s="204" t="s">
        <v>144</v>
      </c>
      <c r="BS4" s="204"/>
      <c r="BX4" s="202"/>
      <c r="BZ4" s="65" t="s">
        <v>471</v>
      </c>
      <c r="CF4" s="202"/>
      <c r="CG4" s="46" t="s">
        <v>146</v>
      </c>
      <c r="CH4" s="46"/>
      <c r="CI4" s="46"/>
      <c r="CJ4" s="46"/>
      <c r="CK4" s="46"/>
      <c r="CL4" s="46"/>
      <c r="CM4" s="205"/>
      <c r="CP4" s="46" t="s">
        <v>147</v>
      </c>
      <c r="CT4" s="202"/>
      <c r="CU4" s="61" t="s">
        <v>368</v>
      </c>
      <c r="CW4" s="50"/>
      <c r="CX4" s="50"/>
    </row>
    <row r="5" spans="1:111">
      <c r="E5" s="206" t="s">
        <v>338</v>
      </c>
      <c r="K5" s="53" t="s">
        <v>14</v>
      </c>
      <c r="L5" s="207"/>
      <c r="M5" s="206" t="s">
        <v>339</v>
      </c>
      <c r="N5" s="206"/>
      <c r="P5" s="53"/>
      <c r="Q5" s="53"/>
      <c r="R5" s="53"/>
      <c r="S5" s="207"/>
      <c r="U5" s="54" t="s">
        <v>340</v>
      </c>
      <c r="V5" s="54"/>
      <c r="W5" s="45"/>
      <c r="X5" s="45"/>
      <c r="Y5" s="61"/>
      <c r="AA5" s="202"/>
      <c r="AB5" s="45" t="s">
        <v>341</v>
      </c>
      <c r="AC5" s="45"/>
      <c r="AE5" s="61"/>
      <c r="AF5" s="208"/>
      <c r="AG5" s="46" t="s">
        <v>346</v>
      </c>
      <c r="AI5" s="45"/>
      <c r="AJ5" s="54" t="s">
        <v>360</v>
      </c>
      <c r="AM5" s="202"/>
      <c r="AP5" s="53" t="s">
        <v>152</v>
      </c>
      <c r="AR5" s="202"/>
      <c r="AS5" s="65" t="s">
        <v>355</v>
      </c>
      <c r="AV5" s="202"/>
      <c r="AW5" s="46"/>
      <c r="AX5" s="46"/>
      <c r="AY5" s="46" t="s">
        <v>359</v>
      </c>
      <c r="AZ5" s="46"/>
      <c r="BC5" s="202"/>
      <c r="BD5" s="65" t="s">
        <v>355</v>
      </c>
      <c r="BF5" s="46" t="s">
        <v>352</v>
      </c>
      <c r="BH5" s="65"/>
      <c r="BI5" s="65"/>
      <c r="BJ5" s="205"/>
      <c r="BK5" s="65" t="s">
        <v>363</v>
      </c>
      <c r="BL5" s="65"/>
      <c r="BQ5" s="202"/>
      <c r="BR5" s="65" t="s">
        <v>355</v>
      </c>
      <c r="BS5" s="65"/>
      <c r="BT5" s="65" t="s">
        <v>352</v>
      </c>
      <c r="BU5" s="65" t="s">
        <v>363</v>
      </c>
      <c r="BX5" s="202"/>
      <c r="BZ5" s="54" t="s">
        <v>145</v>
      </c>
      <c r="CB5" s="46" t="s">
        <v>365</v>
      </c>
      <c r="CD5" s="65" t="s">
        <v>363</v>
      </c>
      <c r="CF5" s="202"/>
      <c r="CG5" s="65" t="s">
        <v>472</v>
      </c>
      <c r="CI5" s="54"/>
      <c r="CJ5" s="54"/>
      <c r="CK5" s="53"/>
      <c r="CM5" s="202"/>
      <c r="CN5" s="65" t="s">
        <v>473</v>
      </c>
      <c r="CP5" s="46"/>
      <c r="CQ5" s="46"/>
      <c r="CS5" s="65"/>
      <c r="CT5" s="202"/>
      <c r="CU5" s="61" t="s">
        <v>369</v>
      </c>
      <c r="CV5" s="50"/>
      <c r="CW5" s="51"/>
      <c r="CX5" s="51"/>
      <c r="CZ5" s="51"/>
      <c r="DA5" s="50"/>
      <c r="DB5" s="50"/>
      <c r="DC5" s="50"/>
      <c r="DD5" s="50"/>
    </row>
    <row r="6" spans="1:111">
      <c r="B6" s="54" t="s">
        <v>151</v>
      </c>
      <c r="F6" s="54" t="s">
        <v>148</v>
      </c>
      <c r="G6" s="54"/>
      <c r="I6" s="54" t="s">
        <v>149</v>
      </c>
      <c r="J6" s="53" t="s">
        <v>14</v>
      </c>
      <c r="K6" s="50" t="s">
        <v>53</v>
      </c>
      <c r="L6" s="209"/>
      <c r="M6" s="54"/>
      <c r="N6" s="54"/>
      <c r="O6" s="54" t="s">
        <v>149</v>
      </c>
      <c r="Q6" s="50" t="s">
        <v>14</v>
      </c>
      <c r="R6" s="53" t="s">
        <v>14</v>
      </c>
      <c r="S6" s="207"/>
      <c r="T6" s="53"/>
      <c r="W6" s="54" t="s">
        <v>149</v>
      </c>
      <c r="X6" s="51" t="s">
        <v>360</v>
      </c>
      <c r="Y6" s="50" t="s">
        <v>14</v>
      </c>
      <c r="Z6" s="53" t="s">
        <v>14</v>
      </c>
      <c r="AA6" s="207"/>
      <c r="AB6" s="51" t="s">
        <v>150</v>
      </c>
      <c r="AC6" s="51"/>
      <c r="AF6" s="207"/>
      <c r="AG6" s="54" t="s">
        <v>151</v>
      </c>
      <c r="AH6" s="54"/>
      <c r="AI6" s="206" t="s">
        <v>347</v>
      </c>
      <c r="AJ6" s="54" t="s">
        <v>52</v>
      </c>
      <c r="AK6" s="53" t="s">
        <v>14</v>
      </c>
      <c r="AL6" s="53" t="s">
        <v>14</v>
      </c>
      <c r="AM6" s="207"/>
      <c r="AN6" s="54"/>
      <c r="AO6" s="54" t="s">
        <v>151</v>
      </c>
      <c r="AP6" s="50" t="s">
        <v>157</v>
      </c>
      <c r="AQ6" s="53"/>
      <c r="AR6" s="207"/>
      <c r="AS6" s="54" t="s">
        <v>145</v>
      </c>
      <c r="AT6" s="53" t="s">
        <v>361</v>
      </c>
      <c r="AU6" s="53" t="s">
        <v>14</v>
      </c>
      <c r="AV6" s="207"/>
      <c r="AW6" s="54" t="s">
        <v>145</v>
      </c>
      <c r="AX6" s="54"/>
      <c r="AY6" s="54" t="s">
        <v>152</v>
      </c>
      <c r="AZ6" s="54" t="s">
        <v>360</v>
      </c>
      <c r="BA6" s="53" t="s">
        <v>14</v>
      </c>
      <c r="BB6" s="53" t="s">
        <v>14</v>
      </c>
      <c r="BC6" s="207"/>
      <c r="BD6" s="54"/>
      <c r="BE6" s="54" t="s">
        <v>145</v>
      </c>
      <c r="BF6" s="54" t="s">
        <v>152</v>
      </c>
      <c r="BG6" s="54" t="s">
        <v>360</v>
      </c>
      <c r="BH6" s="53" t="s">
        <v>14</v>
      </c>
      <c r="BI6" s="53" t="s">
        <v>14</v>
      </c>
      <c r="BJ6" s="210"/>
      <c r="BK6" s="54" t="s">
        <v>145</v>
      </c>
      <c r="BL6" s="54"/>
      <c r="BM6" s="54" t="s">
        <v>152</v>
      </c>
      <c r="BN6" s="54" t="s">
        <v>360</v>
      </c>
      <c r="BO6" s="53" t="s">
        <v>14</v>
      </c>
      <c r="BP6" s="53" t="s">
        <v>14</v>
      </c>
      <c r="BQ6" s="207"/>
      <c r="BR6" s="54" t="s">
        <v>145</v>
      </c>
      <c r="BS6" s="54"/>
      <c r="BT6" s="54" t="s">
        <v>152</v>
      </c>
      <c r="BU6" s="51" t="s">
        <v>61</v>
      </c>
      <c r="BV6" s="53" t="s">
        <v>14</v>
      </c>
      <c r="BW6" s="53" t="s">
        <v>14</v>
      </c>
      <c r="BX6" s="207"/>
      <c r="BY6" s="206" t="s">
        <v>384</v>
      </c>
      <c r="BZ6" s="51"/>
      <c r="CA6" s="51"/>
      <c r="CB6" s="54" t="s">
        <v>152</v>
      </c>
      <c r="CC6" s="54"/>
      <c r="CD6" s="53" t="s">
        <v>14</v>
      </c>
      <c r="CE6" s="53" t="s">
        <v>14</v>
      </c>
      <c r="CF6" s="207"/>
      <c r="CG6" s="54"/>
      <c r="CH6" s="54"/>
      <c r="CI6" s="51" t="s">
        <v>19</v>
      </c>
      <c r="CJ6" s="54"/>
      <c r="CK6" s="53" t="s">
        <v>14</v>
      </c>
      <c r="CL6" s="53" t="s">
        <v>14</v>
      </c>
      <c r="CM6" s="207"/>
      <c r="CN6" s="51"/>
      <c r="CO6" s="51"/>
      <c r="CP6" s="54" t="s">
        <v>352</v>
      </c>
      <c r="CQ6" s="51" t="s">
        <v>61</v>
      </c>
      <c r="CR6" s="53" t="s">
        <v>14</v>
      </c>
      <c r="CS6" s="53" t="s">
        <v>14</v>
      </c>
      <c r="CT6" s="207"/>
      <c r="CU6" s="61" t="s">
        <v>370</v>
      </c>
      <c r="CV6" s="50"/>
      <c r="CW6" s="50"/>
      <c r="CX6" s="50"/>
      <c r="CZ6" s="50"/>
      <c r="DA6" s="50"/>
      <c r="DB6" s="50"/>
      <c r="DC6" s="50"/>
      <c r="DD6" s="50"/>
      <c r="DF6" s="50"/>
      <c r="DG6" s="50"/>
    </row>
    <row r="7" spans="1:111">
      <c r="B7" s="54" t="s">
        <v>164</v>
      </c>
      <c r="F7" s="51" t="s">
        <v>153</v>
      </c>
      <c r="G7" s="51"/>
      <c r="H7" s="51" t="s">
        <v>360</v>
      </c>
      <c r="I7" s="51" t="s">
        <v>154</v>
      </c>
      <c r="J7" s="50" t="s">
        <v>53</v>
      </c>
      <c r="K7" s="53" t="s">
        <v>23</v>
      </c>
      <c r="L7" s="207"/>
      <c r="M7" s="51" t="s">
        <v>155</v>
      </c>
      <c r="N7" s="51"/>
      <c r="O7" s="51" t="s">
        <v>154</v>
      </c>
      <c r="P7" s="51" t="s">
        <v>360</v>
      </c>
      <c r="Q7" s="53" t="s">
        <v>53</v>
      </c>
      <c r="R7" s="50" t="s">
        <v>53</v>
      </c>
      <c r="S7" s="209"/>
      <c r="T7" s="50"/>
      <c r="U7" s="51" t="s">
        <v>155</v>
      </c>
      <c r="V7" s="51"/>
      <c r="W7" s="51" t="s">
        <v>154</v>
      </c>
      <c r="X7" s="51" t="s">
        <v>52</v>
      </c>
      <c r="Y7" s="53" t="s">
        <v>53</v>
      </c>
      <c r="Z7" s="50" t="s">
        <v>53</v>
      </c>
      <c r="AA7" s="209"/>
      <c r="AB7" s="54" t="s">
        <v>110</v>
      </c>
      <c r="AC7" s="54"/>
      <c r="AD7" s="53" t="s">
        <v>19</v>
      </c>
      <c r="AE7" s="53" t="s">
        <v>19</v>
      </c>
      <c r="AF7" s="207"/>
      <c r="AG7" s="51" t="s">
        <v>156</v>
      </c>
      <c r="AH7" s="51"/>
      <c r="AI7" s="51" t="s">
        <v>101</v>
      </c>
      <c r="AJ7" s="51" t="s">
        <v>19</v>
      </c>
      <c r="AK7" s="53" t="s">
        <v>53</v>
      </c>
      <c r="AL7" s="53" t="s">
        <v>53</v>
      </c>
      <c r="AM7" s="207"/>
      <c r="AN7" s="51"/>
      <c r="AO7" s="51" t="s">
        <v>158</v>
      </c>
      <c r="AP7" s="53" t="s">
        <v>352</v>
      </c>
      <c r="AQ7" s="50"/>
      <c r="AR7" s="209"/>
      <c r="AS7" s="51"/>
      <c r="AT7" s="50" t="s">
        <v>159</v>
      </c>
      <c r="AU7" s="53" t="s">
        <v>53</v>
      </c>
      <c r="AV7" s="207"/>
      <c r="AW7" s="51"/>
      <c r="AX7" s="51"/>
      <c r="AY7" s="51" t="s">
        <v>159</v>
      </c>
      <c r="AZ7" s="54" t="s">
        <v>52</v>
      </c>
      <c r="BA7" s="53" t="s">
        <v>53</v>
      </c>
      <c r="BB7" s="53" t="s">
        <v>53</v>
      </c>
      <c r="BC7" s="207"/>
      <c r="BD7" s="54"/>
      <c r="BE7" s="51"/>
      <c r="BF7" s="51" t="s">
        <v>159</v>
      </c>
      <c r="BG7" s="54" t="s">
        <v>52</v>
      </c>
      <c r="BH7" s="53" t="s">
        <v>53</v>
      </c>
      <c r="BI7" s="53" t="s">
        <v>53</v>
      </c>
      <c r="BJ7" s="210"/>
      <c r="BK7" s="51" t="s">
        <v>160</v>
      </c>
      <c r="BL7" s="51"/>
      <c r="BM7" s="51" t="s">
        <v>161</v>
      </c>
      <c r="BN7" s="54" t="s">
        <v>52</v>
      </c>
      <c r="BO7" s="53" t="s">
        <v>53</v>
      </c>
      <c r="BP7" s="53" t="s">
        <v>53</v>
      </c>
      <c r="BQ7" s="207"/>
      <c r="BR7" s="51" t="s">
        <v>162</v>
      </c>
      <c r="BS7" s="51"/>
      <c r="BT7" s="51" t="s">
        <v>163</v>
      </c>
      <c r="BU7" s="51" t="s">
        <v>19</v>
      </c>
      <c r="BV7" s="53" t="s">
        <v>53</v>
      </c>
      <c r="BW7" s="53" t="s">
        <v>53</v>
      </c>
      <c r="BX7" s="207"/>
      <c r="BZ7" s="54" t="s">
        <v>110</v>
      </c>
      <c r="CA7" s="54" t="s">
        <v>60</v>
      </c>
      <c r="CB7" s="51" t="s">
        <v>163</v>
      </c>
      <c r="CC7" s="51" t="s">
        <v>366</v>
      </c>
      <c r="CD7" s="53" t="s">
        <v>53</v>
      </c>
      <c r="CE7" s="53" t="s">
        <v>53</v>
      </c>
      <c r="CF7" s="207"/>
      <c r="CG7" s="54" t="s">
        <v>151</v>
      </c>
      <c r="CH7" s="51"/>
      <c r="CI7" s="54" t="s">
        <v>352</v>
      </c>
      <c r="CJ7" s="51" t="s">
        <v>366</v>
      </c>
      <c r="CK7" s="53" t="s">
        <v>53</v>
      </c>
      <c r="CL7" s="53" t="s">
        <v>53</v>
      </c>
      <c r="CM7" s="207"/>
      <c r="CN7" s="54"/>
      <c r="CO7" s="54" t="s">
        <v>60</v>
      </c>
      <c r="CP7" s="51" t="s">
        <v>163</v>
      </c>
      <c r="CQ7" s="51" t="s">
        <v>19</v>
      </c>
      <c r="CR7" s="53" t="s">
        <v>53</v>
      </c>
      <c r="CS7" s="53" t="s">
        <v>53</v>
      </c>
      <c r="CT7" s="207"/>
      <c r="CU7" s="65" t="s">
        <v>371</v>
      </c>
      <c r="CV7" s="50"/>
      <c r="CW7" s="50"/>
      <c r="CX7" s="50"/>
      <c r="CZ7" s="50"/>
      <c r="DA7" s="50"/>
      <c r="DB7" s="50"/>
      <c r="DC7" s="50"/>
      <c r="DD7" s="50"/>
      <c r="DF7" s="50"/>
      <c r="DG7" s="50"/>
    </row>
    <row r="8" spans="1:111">
      <c r="A8" s="45" t="s">
        <v>148</v>
      </c>
      <c r="B8" s="54" t="s">
        <v>165</v>
      </c>
      <c r="C8" s="54" t="s">
        <v>164</v>
      </c>
      <c r="D8" s="45" t="s">
        <v>113</v>
      </c>
      <c r="E8" s="51"/>
      <c r="F8" s="51" t="s">
        <v>165</v>
      </c>
      <c r="G8" s="51" t="s">
        <v>165</v>
      </c>
      <c r="H8" s="51" t="s">
        <v>52</v>
      </c>
      <c r="I8" s="54" t="s">
        <v>166</v>
      </c>
      <c r="J8" s="53" t="s">
        <v>49</v>
      </c>
      <c r="K8" s="53" t="s">
        <v>167</v>
      </c>
      <c r="L8" s="207"/>
      <c r="M8" s="51" t="s">
        <v>165</v>
      </c>
      <c r="N8" s="51" t="s">
        <v>165</v>
      </c>
      <c r="O8" s="54" t="s">
        <v>168</v>
      </c>
      <c r="P8" s="51" t="s">
        <v>52</v>
      </c>
      <c r="Q8" s="50" t="s">
        <v>19</v>
      </c>
      <c r="R8" s="53" t="s">
        <v>23</v>
      </c>
      <c r="S8" s="207"/>
      <c r="T8" s="45" t="s">
        <v>148</v>
      </c>
      <c r="U8" s="51" t="s">
        <v>165</v>
      </c>
      <c r="V8" s="51" t="s">
        <v>165</v>
      </c>
      <c r="W8" s="54" t="s">
        <v>169</v>
      </c>
      <c r="X8" s="51" t="s">
        <v>77</v>
      </c>
      <c r="Y8" s="50" t="s">
        <v>19</v>
      </c>
      <c r="Z8" s="53" t="s">
        <v>23</v>
      </c>
      <c r="AA8" s="207"/>
      <c r="AB8" s="54">
        <v>441110</v>
      </c>
      <c r="AC8" s="51" t="s">
        <v>165</v>
      </c>
      <c r="AD8" s="50" t="s">
        <v>342</v>
      </c>
      <c r="AE8" s="50" t="s">
        <v>170</v>
      </c>
      <c r="AF8" s="209"/>
      <c r="AG8" s="54" t="s">
        <v>171</v>
      </c>
      <c r="AH8" s="51" t="s">
        <v>165</v>
      </c>
      <c r="AI8" s="51" t="s">
        <v>348</v>
      </c>
      <c r="AJ8" s="51" t="s">
        <v>25</v>
      </c>
      <c r="AK8" s="50" t="s">
        <v>19</v>
      </c>
      <c r="AL8" s="50" t="s">
        <v>23</v>
      </c>
      <c r="AM8" s="209"/>
      <c r="AN8" s="45" t="s">
        <v>148</v>
      </c>
      <c r="AO8" s="54" t="s">
        <v>110</v>
      </c>
      <c r="AP8" s="50" t="s">
        <v>354</v>
      </c>
      <c r="AQ8" s="50" t="s">
        <v>23</v>
      </c>
      <c r="AR8" s="209"/>
      <c r="AS8" s="51"/>
      <c r="AT8" s="50" t="s">
        <v>356</v>
      </c>
      <c r="AU8" s="50" t="s">
        <v>23</v>
      </c>
      <c r="AV8" s="209"/>
      <c r="AW8" s="51"/>
      <c r="AX8" s="51"/>
      <c r="AY8" s="51" t="s">
        <v>358</v>
      </c>
      <c r="AZ8" s="51" t="s">
        <v>19</v>
      </c>
      <c r="BA8" s="50" t="s">
        <v>19</v>
      </c>
      <c r="BB8" s="50" t="s">
        <v>23</v>
      </c>
      <c r="BC8" s="209"/>
      <c r="BD8" s="45" t="s">
        <v>148</v>
      </c>
      <c r="BE8" s="51"/>
      <c r="BF8" s="51" t="s">
        <v>362</v>
      </c>
      <c r="BG8" s="51" t="s">
        <v>19</v>
      </c>
      <c r="BH8" s="50" t="s">
        <v>19</v>
      </c>
      <c r="BI8" s="50" t="s">
        <v>23</v>
      </c>
      <c r="BJ8" s="211"/>
      <c r="BK8" s="51" t="s">
        <v>110</v>
      </c>
      <c r="BL8" s="51" t="s">
        <v>323</v>
      </c>
      <c r="BM8" s="51" t="s">
        <v>173</v>
      </c>
      <c r="BN8" s="51" t="s">
        <v>19</v>
      </c>
      <c r="BO8" s="50" t="s">
        <v>19</v>
      </c>
      <c r="BP8" s="50" t="s">
        <v>23</v>
      </c>
      <c r="BQ8" s="209"/>
      <c r="BR8" s="51" t="s">
        <v>174</v>
      </c>
      <c r="BS8" s="51" t="s">
        <v>323</v>
      </c>
      <c r="BT8" s="51">
        <v>48.07</v>
      </c>
      <c r="BU8" s="51" t="s">
        <v>25</v>
      </c>
      <c r="BV8" s="50" t="s">
        <v>19</v>
      </c>
      <c r="BW8" s="50" t="s">
        <v>23</v>
      </c>
      <c r="BX8" s="209"/>
      <c r="BY8" s="45" t="s">
        <v>175</v>
      </c>
      <c r="BZ8" s="51" t="s">
        <v>176</v>
      </c>
      <c r="CA8" s="51" t="s">
        <v>79</v>
      </c>
      <c r="CB8" s="51">
        <v>31.92</v>
      </c>
      <c r="CC8" s="51" t="s">
        <v>19</v>
      </c>
      <c r="CD8" s="50" t="s">
        <v>19</v>
      </c>
      <c r="CE8" s="50" t="s">
        <v>23</v>
      </c>
      <c r="CF8" s="209"/>
      <c r="CG8" s="54" t="s">
        <v>60</v>
      </c>
      <c r="CH8" s="54" t="s">
        <v>79</v>
      </c>
      <c r="CI8" s="46">
        <v>92.421000000000006</v>
      </c>
      <c r="CJ8" s="51" t="s">
        <v>49</v>
      </c>
      <c r="CK8" s="50" t="s">
        <v>19</v>
      </c>
      <c r="CL8" s="50" t="s">
        <v>23</v>
      </c>
      <c r="CM8" s="209"/>
      <c r="CN8" s="54" t="s">
        <v>317</v>
      </c>
      <c r="CO8" s="54" t="s">
        <v>79</v>
      </c>
      <c r="CP8" s="51">
        <v>609.38900000000001</v>
      </c>
      <c r="CQ8" s="46">
        <v>262</v>
      </c>
      <c r="CR8" s="50" t="s">
        <v>19</v>
      </c>
      <c r="CS8" s="50" t="s">
        <v>23</v>
      </c>
      <c r="CT8" s="209"/>
      <c r="CU8" s="53" t="s">
        <v>23</v>
      </c>
      <c r="CV8" s="50" t="s">
        <v>23</v>
      </c>
      <c r="CW8" s="50"/>
      <c r="CX8" s="50"/>
      <c r="CZ8" s="45"/>
      <c r="DA8" s="50"/>
      <c r="DB8" s="50"/>
      <c r="DC8" s="50"/>
      <c r="DD8" s="50"/>
      <c r="DF8" s="50"/>
      <c r="DG8" s="50"/>
    </row>
    <row r="9" spans="1:111">
      <c r="B9" s="54">
        <v>2010</v>
      </c>
      <c r="C9" s="51" t="s">
        <v>29</v>
      </c>
      <c r="D9" s="51">
        <v>2002</v>
      </c>
      <c r="E9" s="51" t="s">
        <v>29</v>
      </c>
      <c r="F9" s="51" t="s">
        <v>177</v>
      </c>
      <c r="G9" s="51" t="s">
        <v>26</v>
      </c>
      <c r="H9" s="51" t="s">
        <v>77</v>
      </c>
      <c r="I9" s="51" t="s">
        <v>77</v>
      </c>
      <c r="J9" s="50" t="s">
        <v>25</v>
      </c>
      <c r="K9" s="53" t="s">
        <v>26</v>
      </c>
      <c r="L9" s="207"/>
      <c r="M9" s="51"/>
      <c r="N9" s="51" t="s">
        <v>26</v>
      </c>
      <c r="O9" s="51" t="s">
        <v>77</v>
      </c>
      <c r="P9" s="51" t="s">
        <v>77</v>
      </c>
      <c r="Q9" s="50" t="s">
        <v>25</v>
      </c>
      <c r="R9" s="53" t="s">
        <v>26</v>
      </c>
      <c r="S9" s="207"/>
      <c r="T9" s="46"/>
      <c r="U9" s="51" t="s">
        <v>178</v>
      </c>
      <c r="V9" s="51" t="s">
        <v>26</v>
      </c>
      <c r="W9" s="51" t="s">
        <v>77</v>
      </c>
      <c r="X9" s="46">
        <v>183.2</v>
      </c>
      <c r="Y9" s="50" t="s">
        <v>25</v>
      </c>
      <c r="Z9" s="53" t="s">
        <v>26</v>
      </c>
      <c r="AA9" s="207"/>
      <c r="AB9" s="51"/>
      <c r="AC9" s="51" t="s">
        <v>26</v>
      </c>
      <c r="AD9" s="53" t="s">
        <v>25</v>
      </c>
      <c r="AE9" s="53" t="s">
        <v>26</v>
      </c>
      <c r="AF9" s="207"/>
      <c r="AG9" s="51"/>
      <c r="AH9" s="51" t="s">
        <v>26</v>
      </c>
      <c r="AI9" s="54" t="s">
        <v>165</v>
      </c>
      <c r="AJ9" s="46" t="s">
        <v>349</v>
      </c>
      <c r="AK9" s="50" t="s">
        <v>77</v>
      </c>
      <c r="AL9" s="50" t="s">
        <v>26</v>
      </c>
      <c r="AM9" s="209"/>
      <c r="AO9" s="51" t="s">
        <v>353</v>
      </c>
      <c r="AP9" s="50" t="s">
        <v>25</v>
      </c>
      <c r="AQ9" s="50" t="s">
        <v>26</v>
      </c>
      <c r="AR9" s="209"/>
      <c r="AS9" s="51"/>
      <c r="AT9" s="50" t="s">
        <v>25</v>
      </c>
      <c r="AU9" s="50" t="s">
        <v>26</v>
      </c>
      <c r="AV9" s="209"/>
      <c r="AW9" s="51" t="s">
        <v>28</v>
      </c>
      <c r="AX9" s="51" t="s">
        <v>68</v>
      </c>
      <c r="AY9" s="51" t="s">
        <v>25</v>
      </c>
      <c r="AZ9" s="51" t="s">
        <v>25</v>
      </c>
      <c r="BA9" s="50" t="s">
        <v>25</v>
      </c>
      <c r="BB9" s="50" t="s">
        <v>26</v>
      </c>
      <c r="BC9" s="209"/>
      <c r="BE9" s="51"/>
      <c r="BF9" s="51" t="s">
        <v>25</v>
      </c>
      <c r="BG9" s="51" t="s">
        <v>25</v>
      </c>
      <c r="BH9" s="50" t="s">
        <v>25</v>
      </c>
      <c r="BI9" s="50" t="s">
        <v>26</v>
      </c>
      <c r="BJ9" s="205"/>
      <c r="BK9" s="51">
        <v>332812</v>
      </c>
      <c r="BL9" s="51" t="s">
        <v>69</v>
      </c>
      <c r="BM9" s="51" t="s">
        <v>25</v>
      </c>
      <c r="BN9" s="51" t="s">
        <v>25</v>
      </c>
      <c r="BO9" s="50" t="s">
        <v>77</v>
      </c>
      <c r="BP9" s="50" t="s">
        <v>26</v>
      </c>
      <c r="BQ9" s="209"/>
      <c r="BR9" s="212" t="s">
        <v>28</v>
      </c>
      <c r="BS9" s="212" t="s">
        <v>69</v>
      </c>
      <c r="BT9" s="51" t="s">
        <v>25</v>
      </c>
      <c r="BU9" s="46" t="s">
        <v>364</v>
      </c>
      <c r="BV9" s="50" t="s">
        <v>77</v>
      </c>
      <c r="BW9" s="50" t="s">
        <v>26</v>
      </c>
      <c r="BX9" s="209"/>
      <c r="BZ9" s="212" t="s">
        <v>28</v>
      </c>
      <c r="CA9" s="212" t="s">
        <v>69</v>
      </c>
      <c r="CB9" s="51" t="s">
        <v>25</v>
      </c>
      <c r="CD9" s="50" t="s">
        <v>179</v>
      </c>
      <c r="CE9" s="50" t="s">
        <v>26</v>
      </c>
      <c r="CF9" s="209"/>
      <c r="CG9" s="65" t="s">
        <v>28</v>
      </c>
      <c r="CH9" s="54" t="s">
        <v>69</v>
      </c>
      <c r="CI9" s="51" t="s">
        <v>382</v>
      </c>
      <c r="CJ9" s="46">
        <v>127.7</v>
      </c>
      <c r="CK9" s="50" t="s">
        <v>179</v>
      </c>
      <c r="CL9" s="50" t="s">
        <v>26</v>
      </c>
      <c r="CM9" s="209"/>
      <c r="CN9" s="54" t="s">
        <v>60</v>
      </c>
      <c r="CO9" s="212" t="s">
        <v>69</v>
      </c>
      <c r="CP9" s="51" t="s">
        <v>383</v>
      </c>
      <c r="CQ9" s="54" t="s">
        <v>25</v>
      </c>
      <c r="CR9" s="50" t="s">
        <v>179</v>
      </c>
      <c r="CS9" s="50" t="s">
        <v>26</v>
      </c>
      <c r="CT9" s="209"/>
      <c r="CU9" s="50" t="s">
        <v>25</v>
      </c>
      <c r="CV9" s="50" t="s">
        <v>26</v>
      </c>
      <c r="CW9" s="50"/>
      <c r="CX9" s="50"/>
      <c r="CZ9" s="46"/>
      <c r="DA9" s="50"/>
      <c r="DB9" s="50"/>
      <c r="DC9" s="50"/>
      <c r="DD9" s="50"/>
      <c r="DF9" s="50"/>
      <c r="DG9" s="50"/>
    </row>
    <row r="10" spans="1:111" ht="11.25" customHeight="1">
      <c r="A10" s="45" t="s">
        <v>180</v>
      </c>
      <c r="B10" s="51" t="s">
        <v>180</v>
      </c>
      <c r="C10" s="51" t="s">
        <v>180</v>
      </c>
      <c r="D10" s="51" t="s">
        <v>181</v>
      </c>
      <c r="E10" s="51" t="s">
        <v>181</v>
      </c>
      <c r="F10" s="51" t="s">
        <v>182</v>
      </c>
      <c r="G10" s="51" t="s">
        <v>182</v>
      </c>
      <c r="H10" s="51" t="s">
        <v>183</v>
      </c>
      <c r="I10" s="51" t="s">
        <v>181</v>
      </c>
      <c r="J10" s="50" t="s">
        <v>181</v>
      </c>
      <c r="K10" s="50" t="s">
        <v>184</v>
      </c>
      <c r="L10" s="209"/>
      <c r="M10" s="51" t="s">
        <v>182</v>
      </c>
      <c r="N10" s="51" t="s">
        <v>182</v>
      </c>
      <c r="O10" s="51" t="s">
        <v>181</v>
      </c>
      <c r="P10" s="51" t="s">
        <v>182</v>
      </c>
      <c r="Q10" s="50" t="s">
        <v>182</v>
      </c>
      <c r="R10" s="53" t="s">
        <v>185</v>
      </c>
      <c r="S10" s="207"/>
      <c r="T10" s="45" t="s">
        <v>180</v>
      </c>
      <c r="U10" s="51" t="s">
        <v>182</v>
      </c>
      <c r="V10" s="51" t="s">
        <v>182</v>
      </c>
      <c r="W10" s="51" t="s">
        <v>181</v>
      </c>
      <c r="X10" s="51" t="s">
        <v>182</v>
      </c>
      <c r="Y10" s="50" t="s">
        <v>182</v>
      </c>
      <c r="Z10" s="53" t="s">
        <v>185</v>
      </c>
      <c r="AA10" s="207"/>
      <c r="AB10" s="51" t="s">
        <v>186</v>
      </c>
      <c r="AC10" s="51" t="s">
        <v>182</v>
      </c>
      <c r="AD10" s="50" t="s">
        <v>186</v>
      </c>
      <c r="AE10" s="50" t="s">
        <v>181</v>
      </c>
      <c r="AF10" s="209"/>
      <c r="AG10" s="51" t="s">
        <v>181</v>
      </c>
      <c r="AH10" s="51" t="s">
        <v>182</v>
      </c>
      <c r="AI10" s="51" t="s">
        <v>181</v>
      </c>
      <c r="AJ10" s="51" t="s">
        <v>181</v>
      </c>
      <c r="AK10" s="50" t="s">
        <v>181</v>
      </c>
      <c r="AL10" s="50" t="s">
        <v>181</v>
      </c>
      <c r="AM10" s="209"/>
      <c r="AN10" s="45" t="s">
        <v>180</v>
      </c>
      <c r="AO10" s="51" t="s">
        <v>181</v>
      </c>
      <c r="AP10" s="50" t="s">
        <v>181</v>
      </c>
      <c r="AQ10" s="50" t="s">
        <v>187</v>
      </c>
      <c r="AR10" s="209"/>
      <c r="AS10" s="51" t="s">
        <v>181</v>
      </c>
      <c r="AT10" s="50" t="s">
        <v>187</v>
      </c>
      <c r="AU10" s="50" t="s">
        <v>187</v>
      </c>
      <c r="AV10" s="209"/>
      <c r="AW10" s="51" t="s">
        <v>181</v>
      </c>
      <c r="AX10" s="51"/>
      <c r="AY10" s="51" t="s">
        <v>187</v>
      </c>
      <c r="AZ10" s="51" t="s">
        <v>181</v>
      </c>
      <c r="BA10" s="50" t="s">
        <v>181</v>
      </c>
      <c r="BB10" s="50" t="s">
        <v>187</v>
      </c>
      <c r="BC10" s="209"/>
      <c r="BD10" s="45" t="s">
        <v>180</v>
      </c>
      <c r="BE10" s="45" t="s">
        <v>180</v>
      </c>
      <c r="BF10" s="45" t="s">
        <v>180</v>
      </c>
      <c r="BG10" s="45" t="s">
        <v>180</v>
      </c>
      <c r="BH10" s="45" t="s">
        <v>180</v>
      </c>
      <c r="BI10" s="45" t="s">
        <v>180</v>
      </c>
      <c r="BJ10" s="211"/>
      <c r="BK10" s="51" t="s">
        <v>181</v>
      </c>
      <c r="BL10" s="51" t="s">
        <v>181</v>
      </c>
      <c r="BM10" s="51" t="s">
        <v>181</v>
      </c>
      <c r="BN10" s="51" t="s">
        <v>181</v>
      </c>
      <c r="BO10" s="50" t="s">
        <v>181</v>
      </c>
      <c r="BP10" s="50" t="s">
        <v>181</v>
      </c>
      <c r="BQ10" s="209"/>
      <c r="BR10" s="51" t="s">
        <v>186</v>
      </c>
      <c r="BS10" s="51" t="s">
        <v>186</v>
      </c>
      <c r="BT10" s="51" t="s">
        <v>183</v>
      </c>
      <c r="BU10" s="51" t="s">
        <v>186</v>
      </c>
      <c r="BV10" s="50" t="s">
        <v>181</v>
      </c>
      <c r="BW10" s="50" t="s">
        <v>186</v>
      </c>
      <c r="BX10" s="209"/>
      <c r="BY10" s="45" t="s">
        <v>180</v>
      </c>
      <c r="BZ10" s="51" t="s">
        <v>188</v>
      </c>
      <c r="CA10" s="51" t="s">
        <v>188</v>
      </c>
      <c r="CB10" s="51" t="s">
        <v>186</v>
      </c>
      <c r="CC10" s="51" t="s">
        <v>183</v>
      </c>
      <c r="CD10" s="50" t="s">
        <v>181</v>
      </c>
      <c r="CE10" s="50" t="s">
        <v>186</v>
      </c>
      <c r="CF10" s="209"/>
      <c r="CG10" s="50" t="s">
        <v>186</v>
      </c>
      <c r="CH10" s="50" t="s">
        <v>186</v>
      </c>
      <c r="CI10" s="51" t="s">
        <v>186</v>
      </c>
      <c r="CJ10" s="51" t="s">
        <v>183</v>
      </c>
      <c r="CK10" s="50" t="s">
        <v>181</v>
      </c>
      <c r="CL10" s="50" t="s">
        <v>186</v>
      </c>
      <c r="CM10" s="209"/>
      <c r="CN10" s="51" t="s">
        <v>188</v>
      </c>
      <c r="CO10" s="51" t="s">
        <v>188</v>
      </c>
      <c r="CP10" s="51" t="s">
        <v>186</v>
      </c>
      <c r="CQ10" s="51" t="s">
        <v>183</v>
      </c>
      <c r="CR10" s="50" t="s">
        <v>181</v>
      </c>
      <c r="CS10" s="50" t="s">
        <v>186</v>
      </c>
      <c r="CT10" s="209"/>
      <c r="CU10" s="50" t="s">
        <v>189</v>
      </c>
      <c r="CV10" s="50" t="s">
        <v>190</v>
      </c>
      <c r="CW10" s="50"/>
      <c r="CX10" s="50"/>
      <c r="CZ10" s="45"/>
      <c r="DA10" s="50"/>
      <c r="DB10" s="50"/>
      <c r="DC10" s="50"/>
      <c r="DD10" s="51"/>
      <c r="DF10" s="51"/>
      <c r="DG10" s="51"/>
    </row>
    <row r="11" spans="1:111" ht="18" customHeight="1">
      <c r="A11" s="45" t="s">
        <v>31</v>
      </c>
      <c r="B11" s="213">
        <v>2065</v>
      </c>
      <c r="C11" s="214">
        <f>SUM(B11/226698)</f>
        <v>9.1090349275247239E-3</v>
      </c>
      <c r="D11" s="215">
        <v>215769</v>
      </c>
      <c r="E11" s="216">
        <f t="shared" ref="E11:E24" si="0">SUM(D11/6427801)</f>
        <v>3.3568089615717722E-2</v>
      </c>
      <c r="F11" s="217">
        <v>56</v>
      </c>
      <c r="G11" s="218">
        <f>SUM(F11/260)</f>
        <v>0.2153846153846154</v>
      </c>
      <c r="H11" s="56">
        <f>SUM(F11/2101)*85.9</f>
        <v>2.2895763921941934</v>
      </c>
      <c r="I11" s="55">
        <f t="shared" ref="I11:I24" si="1">SUM(F11*244)/2000</f>
        <v>6.8319999999999999</v>
      </c>
      <c r="J11" s="57">
        <f t="shared" ref="J11:J24" si="2">SUM(I11-H11)</f>
        <v>4.5424236078058069</v>
      </c>
      <c r="K11" s="219">
        <f t="shared" ref="K11:K24" si="3">SUM(J11/260)</f>
        <v>1.7470860030022333E-2</v>
      </c>
      <c r="L11" s="220"/>
      <c r="M11" s="221">
        <f>SUM(C11*1505)</f>
        <v>13.70909756592471</v>
      </c>
      <c r="N11" s="218">
        <f>SUM(M11/260)</f>
        <v>5.2727298330479649E-2</v>
      </c>
      <c r="O11" s="222">
        <f>SUM(M11*772)/2000</f>
        <v>5.2917116604469383</v>
      </c>
      <c r="P11" s="223">
        <v>0</v>
      </c>
      <c r="Q11" s="219">
        <f>SUM(O11-P11)</f>
        <v>5.2917116604469383</v>
      </c>
      <c r="R11" s="219">
        <f t="shared" ref="R11:R26" si="4">SUM(Q11/260)</f>
        <v>2.0352737155565147E-2</v>
      </c>
      <c r="S11" s="220"/>
      <c r="T11" s="45" t="s">
        <v>31</v>
      </c>
      <c r="U11" s="97">
        <f>SUM(C11*252)</f>
        <v>2.2954768017362306</v>
      </c>
      <c r="V11" s="218">
        <f>SUM(U11/260)</f>
        <v>8.8287569297547334E-3</v>
      </c>
      <c r="W11" s="55">
        <f t="shared" ref="W11:W24" si="5">SUM(U11*2326)/2000</f>
        <v>2.6696395204192362</v>
      </c>
      <c r="X11" s="55">
        <f>SUM(C11*183.2)</f>
        <v>1.6687751987225292</v>
      </c>
      <c r="Y11" s="57">
        <f t="shared" ref="Y11:Y21" si="6">SUM(W11-X11)</f>
        <v>1.000864321696707</v>
      </c>
      <c r="Z11" s="70">
        <f t="shared" ref="Z11:Z24" si="7">SUM(Y11/260)</f>
        <v>3.84947816037195E-3</v>
      </c>
      <c r="AA11" s="224"/>
      <c r="AB11" s="56">
        <v>8</v>
      </c>
      <c r="AC11" s="218">
        <f>SUM(AB11/260)</f>
        <v>3.0769230769230771E-2</v>
      </c>
      <c r="AD11" s="63">
        <f>SUM(AB11*194)/2000</f>
        <v>0.77600000000000002</v>
      </c>
      <c r="AE11" s="64">
        <f>SUM(AD11/260)</f>
        <v>2.9846153846153846E-3</v>
      </c>
      <c r="AF11" s="225"/>
      <c r="AG11" s="226">
        <v>188</v>
      </c>
      <c r="AH11" s="218">
        <f>SUM(AG11/260)</f>
        <v>0.72307692307692306</v>
      </c>
      <c r="AI11" s="56">
        <f>SUM(AG11*51.46)/2000</f>
        <v>4.8372399999999995</v>
      </c>
      <c r="AJ11" s="56">
        <f>SUM(AG11/9459)*28</f>
        <v>0.55650703034147375</v>
      </c>
      <c r="AK11" s="57">
        <f t="shared" ref="AK11:AK26" si="8">SUM(AI11-AJ11)</f>
        <v>4.2807329696585255</v>
      </c>
      <c r="AL11" s="58">
        <f t="shared" ref="AL11:AL24" si="9">SUM(AK11/260)</f>
        <v>1.6464357575609712E-2</v>
      </c>
      <c r="AM11" s="225"/>
      <c r="AN11" s="45" t="s">
        <v>31</v>
      </c>
      <c r="AO11" s="227">
        <v>0</v>
      </c>
      <c r="AP11" s="63">
        <f t="shared" ref="AP11:AP24" si="10">SUM(AO11*208.83)/2000</f>
        <v>0</v>
      </c>
      <c r="AQ11" s="64">
        <f>SUM(AP11/260)</f>
        <v>0</v>
      </c>
      <c r="AR11" s="225"/>
      <c r="AS11" s="226">
        <v>0</v>
      </c>
      <c r="AT11" s="57">
        <f>SUM(AS11*12.98)/2000</f>
        <v>0</v>
      </c>
      <c r="AU11" s="58">
        <f>SUM(AT11/260)</f>
        <v>0</v>
      </c>
      <c r="AV11" s="225"/>
      <c r="AW11" s="56">
        <v>33</v>
      </c>
      <c r="AX11" s="228">
        <f>SUM(AW11/260)</f>
        <v>0.12692307692307692</v>
      </c>
      <c r="AY11" s="55">
        <f>SUM(AW11*225.4)/2000</f>
        <v>3.7191000000000001</v>
      </c>
      <c r="AZ11" s="55"/>
      <c r="BA11" s="57">
        <f t="shared" ref="BA11:BA26" si="11">SUM(AY11-AZ11)</f>
        <v>3.7191000000000001</v>
      </c>
      <c r="BB11" s="58">
        <f t="shared" ref="BB11:BB24" si="12">SUM(BA11/260)</f>
        <v>1.4304230769230769E-2</v>
      </c>
      <c r="BC11" s="225"/>
      <c r="BD11" s="45" t="s">
        <v>31</v>
      </c>
      <c r="BE11" s="51">
        <v>0</v>
      </c>
      <c r="BF11" s="55">
        <f>SUM(BE11*208.3)/2000</f>
        <v>0</v>
      </c>
      <c r="BG11" s="229">
        <v>0</v>
      </c>
      <c r="BH11" s="57">
        <f t="shared" ref="BH11:BH22" si="13">SUM(BF11-BG11)</f>
        <v>0</v>
      </c>
      <c r="BI11" s="58">
        <f t="shared" ref="BI11:BI24" si="14">SUM(BH11/260)</f>
        <v>0</v>
      </c>
      <c r="BJ11" s="211"/>
      <c r="BK11" s="226">
        <v>36</v>
      </c>
      <c r="BL11" s="228">
        <f>SUM(BK11/260)</f>
        <v>0.13846153846153847</v>
      </c>
      <c r="BM11" s="55">
        <f t="shared" ref="BM11:BM24" si="15">SUM(BK11*390.1)/2000</f>
        <v>7.0217999999999998</v>
      </c>
      <c r="BN11" s="55">
        <f>SUM(BK11/1506)*90</f>
        <v>2.1513944223107568</v>
      </c>
      <c r="BO11" s="57">
        <f t="shared" ref="BO11:BO24" si="16">SUM(BM11-BN11)</f>
        <v>4.870405577689243</v>
      </c>
      <c r="BP11" s="58">
        <f t="shared" ref="BP11:BP24" si="17">SUM(BO11/260)</f>
        <v>1.8732329144958627E-2</v>
      </c>
      <c r="BQ11" s="225"/>
      <c r="BR11" s="226">
        <v>40</v>
      </c>
      <c r="BS11" s="228">
        <f>SUM(BR11/260)</f>
        <v>0.15384615384615385</v>
      </c>
      <c r="BT11" s="56">
        <f>SUM(BR11*43)/2000</f>
        <v>0.86</v>
      </c>
      <c r="BU11" s="55">
        <f>SUM(BR11/2251)*15.3</f>
        <v>0.27187916481563751</v>
      </c>
      <c r="BV11" s="57">
        <f>SUM(BT11-BU11)</f>
        <v>0.58812083518436253</v>
      </c>
      <c r="BW11" s="58">
        <f t="shared" ref="BW11:BW24" si="18">SUM(BV11/260)</f>
        <v>2.2620032122475484E-3</v>
      </c>
      <c r="BX11" s="225"/>
      <c r="BY11" s="45" t="s">
        <v>31</v>
      </c>
      <c r="BZ11" s="226">
        <v>0</v>
      </c>
      <c r="CA11" s="228">
        <f>SUM(BZ11/260)</f>
        <v>0</v>
      </c>
      <c r="CB11" s="55">
        <f>SUM(BZ11*31.92)/2000</f>
        <v>0</v>
      </c>
      <c r="CC11" s="56">
        <f>SUM(BZ11/2979)*25.1</f>
        <v>0</v>
      </c>
      <c r="CD11" s="57">
        <f t="shared" ref="CD11:CD24" si="19">SUM(CB11-CC11)</f>
        <v>0</v>
      </c>
      <c r="CE11" s="64">
        <f t="shared" ref="CE11:CE24" si="20">SUM(CD11/260)</f>
        <v>0</v>
      </c>
      <c r="CF11" s="225"/>
      <c r="CG11" s="229">
        <v>231</v>
      </c>
      <c r="CH11" s="66">
        <f>SUM(CG11/260)</f>
        <v>0.88846153846153841</v>
      </c>
      <c r="CI11" s="55">
        <f>SUM(CG11*92.421)/2000</f>
        <v>10.674625499999999</v>
      </c>
      <c r="CJ11" s="55">
        <f>SUM(CG11/22501)*127.7</f>
        <v>1.3109950668859163</v>
      </c>
      <c r="CK11" s="57">
        <f>SUM(CI11-CJ11)</f>
        <v>9.3636304331140838</v>
      </c>
      <c r="CL11" s="58">
        <f t="shared" ref="CL11:CL26" si="21">SUM(CI11/260)</f>
        <v>4.1056251923076922E-2</v>
      </c>
      <c r="CM11" s="202"/>
      <c r="CN11" s="226">
        <v>0</v>
      </c>
      <c r="CO11" s="66">
        <f>SUM(CN11/260)</f>
        <v>0</v>
      </c>
      <c r="CP11" s="55">
        <f>SUM(CN11*609.389)/2000</f>
        <v>0</v>
      </c>
      <c r="CQ11" s="228">
        <f>SUM(CN11/2701)*262</f>
        <v>0</v>
      </c>
      <c r="CR11" s="57">
        <f t="shared" ref="CR11:CR24" si="22">SUM(CP11-CQ11)</f>
        <v>0</v>
      </c>
      <c r="CS11" s="58">
        <f t="shared" ref="CS11:CS24" si="23">SUM(CR11/260)</f>
        <v>0</v>
      </c>
      <c r="CT11" s="225"/>
      <c r="CU11" s="230">
        <f>SUM(J11,Q11,Y11,AD11,AK11,AP11,AT11,BA11,BH11,BO11,BV11,CD11,CK11,CR11)</f>
        <v>34.43298940559567</v>
      </c>
      <c r="CV11" s="231">
        <f t="shared" ref="CV11:CV24" si="24">SUM(K11,R11,Z11,AE11,AL11,AQ11,AU11,BB11,BI11,BP11,BW11,CE11,CL11,CS11)</f>
        <v>0.13747686335569839</v>
      </c>
      <c r="CW11" s="232"/>
      <c r="CX11" s="233"/>
      <c r="CZ11" s="45"/>
      <c r="DA11" s="234"/>
      <c r="DB11" s="235"/>
      <c r="DC11" s="230"/>
      <c r="DD11" s="236"/>
      <c r="DE11" s="235"/>
      <c r="DF11" s="230"/>
      <c r="DG11" s="236"/>
    </row>
    <row r="12" spans="1:111" ht="18" customHeight="1">
      <c r="A12" s="45" t="s">
        <v>32</v>
      </c>
      <c r="B12" s="213">
        <v>4911</v>
      </c>
      <c r="C12" s="214">
        <f t="shared" ref="C12:C26" si="25">SUM(B12/226698)</f>
        <v>2.1663181854273086E-2</v>
      </c>
      <c r="D12" s="215">
        <v>130458</v>
      </c>
      <c r="E12" s="216">
        <f t="shared" si="0"/>
        <v>2.029589901740891E-2</v>
      </c>
      <c r="F12" s="217">
        <v>19</v>
      </c>
      <c r="G12" s="218">
        <f t="shared" ref="G12:G26" si="26">SUM(F12/260)</f>
        <v>7.3076923076923081E-2</v>
      </c>
      <c r="H12" s="56">
        <f t="shared" ref="H12:H26" si="27">SUM(F12/2101)*85.9</f>
        <v>0.77682056163731561</v>
      </c>
      <c r="I12" s="55">
        <f t="shared" si="1"/>
        <v>2.3180000000000001</v>
      </c>
      <c r="J12" s="57">
        <f t="shared" si="2"/>
        <v>1.5411794383626845</v>
      </c>
      <c r="K12" s="219">
        <f t="shared" si="3"/>
        <v>5.927613224471863E-3</v>
      </c>
      <c r="L12" s="220"/>
      <c r="M12" s="221">
        <f t="shared" ref="M12:M26" si="28">SUM(C12*1505)</f>
        <v>32.603088690680998</v>
      </c>
      <c r="N12" s="218">
        <f t="shared" ref="N12:N26" si="29">SUM(M12/260)</f>
        <v>0.1253964949641577</v>
      </c>
      <c r="O12" s="222">
        <f t="shared" ref="O12:O26" si="30">SUM(M12*772)/2000</f>
        <v>12.584792234602865</v>
      </c>
      <c r="P12" s="223">
        <v>0</v>
      </c>
      <c r="Q12" s="219">
        <f t="shared" ref="Q12:Q26" si="31">SUM(O12-P12)</f>
        <v>12.584792234602865</v>
      </c>
      <c r="R12" s="219">
        <f t="shared" si="4"/>
        <v>4.8403047056164869E-2</v>
      </c>
      <c r="S12" s="220"/>
      <c r="T12" s="45" t="s">
        <v>32</v>
      </c>
      <c r="U12" s="97">
        <f t="shared" ref="U12:U26" si="32">SUM(C12*252)</f>
        <v>5.4591218272768174</v>
      </c>
      <c r="V12" s="218">
        <f t="shared" ref="V12:V26" si="33">SUM(U12/260)</f>
        <v>2.0996622412603142E-2</v>
      </c>
      <c r="W12" s="55">
        <f t="shared" si="5"/>
        <v>6.3489586851229385</v>
      </c>
      <c r="X12" s="55">
        <f t="shared" ref="X12:X26" si="34">SUM(C12*183.2)</f>
        <v>3.9686949157028293</v>
      </c>
      <c r="Y12" s="57">
        <f t="shared" si="6"/>
        <v>2.3802637694201092</v>
      </c>
      <c r="Z12" s="70">
        <f t="shared" si="7"/>
        <v>9.1548606516158038E-3</v>
      </c>
      <c r="AA12" s="224"/>
      <c r="AB12" s="56">
        <v>0</v>
      </c>
      <c r="AC12" s="218">
        <f t="shared" ref="AC12:AC26" si="35">SUM(AB12/260)</f>
        <v>0</v>
      </c>
      <c r="AD12" s="63">
        <f t="shared" ref="AD12:AD26" si="36">SUM(AB12*194)/2000</f>
        <v>0</v>
      </c>
      <c r="AE12" s="64">
        <f t="shared" ref="AE12:AE26" si="37">SUM(AD12/260)</f>
        <v>0</v>
      </c>
      <c r="AF12" s="225"/>
      <c r="AG12" s="226">
        <v>175</v>
      </c>
      <c r="AH12" s="218">
        <f t="shared" ref="AH12:AH26" si="38">SUM(AG12/260)</f>
        <v>0.67307692307692313</v>
      </c>
      <c r="AI12" s="56">
        <f t="shared" ref="AI12:AI26" si="39">SUM(AG12*51.46)/2000</f>
        <v>4.5027499999999998</v>
      </c>
      <c r="AJ12" s="56">
        <f t="shared" ref="AJ12:AJ26" si="40">SUM(AG12/9459)*28</f>
        <v>0.5180251612221165</v>
      </c>
      <c r="AK12" s="57">
        <f t="shared" si="8"/>
        <v>3.9847248387778835</v>
      </c>
      <c r="AL12" s="58">
        <f t="shared" si="9"/>
        <v>1.5325864764530321E-2</v>
      </c>
      <c r="AM12" s="225"/>
      <c r="AN12" s="45" t="s">
        <v>32</v>
      </c>
      <c r="AO12" s="227">
        <v>6.3</v>
      </c>
      <c r="AP12" s="63">
        <f t="shared" si="10"/>
        <v>0.65781450000000008</v>
      </c>
      <c r="AQ12" s="64">
        <f t="shared" ref="AQ12:AQ26" si="41">SUM(AP12/260)</f>
        <v>2.5300557692307696E-3</v>
      </c>
      <c r="AR12" s="225"/>
      <c r="AS12" s="226">
        <v>0</v>
      </c>
      <c r="AT12" s="57">
        <f t="shared" ref="AT12:AT26" si="42">SUM(AS12*12.98)/2000</f>
        <v>0</v>
      </c>
      <c r="AU12" s="58">
        <f t="shared" ref="AU12:AU26" si="43">SUM(AT12/260)</f>
        <v>0</v>
      </c>
      <c r="AV12" s="225"/>
      <c r="AW12" s="56">
        <v>0</v>
      </c>
      <c r="AX12" s="228">
        <f t="shared" ref="AX12:AX26" si="44">SUM(AW12/260)</f>
        <v>0</v>
      </c>
      <c r="AY12" s="55">
        <f t="shared" ref="AY12:AY24" si="45">SUM(AW12*198)/2000</f>
        <v>0</v>
      </c>
      <c r="AZ12" s="55"/>
      <c r="BA12" s="57">
        <f t="shared" si="11"/>
        <v>0</v>
      </c>
      <c r="BB12" s="58">
        <f t="shared" si="12"/>
        <v>0</v>
      </c>
      <c r="BC12" s="225"/>
      <c r="BD12" s="45" t="s">
        <v>32</v>
      </c>
      <c r="BE12" s="51">
        <v>43</v>
      </c>
      <c r="BF12" s="55">
        <f t="shared" ref="BF12:BF24" si="46">SUM(BE12*208.3)/2000</f>
        <v>4.4784499999999996</v>
      </c>
      <c r="BG12" s="229">
        <v>0</v>
      </c>
      <c r="BH12" s="57">
        <f t="shared" si="13"/>
        <v>4.4784499999999996</v>
      </c>
      <c r="BI12" s="58">
        <f t="shared" si="14"/>
        <v>1.7224807692307692E-2</v>
      </c>
      <c r="BJ12" s="211"/>
      <c r="BK12" s="226">
        <v>147</v>
      </c>
      <c r="BL12" s="228">
        <f t="shared" ref="BL12:BL26" si="47">SUM(BK12/260)</f>
        <v>0.56538461538461537</v>
      </c>
      <c r="BM12" s="55">
        <f t="shared" si="15"/>
        <v>28.672350000000002</v>
      </c>
      <c r="BN12" s="55">
        <f t="shared" ref="BN12:BN24" si="48">SUM(BK12/1506)*90</f>
        <v>8.7848605577689245</v>
      </c>
      <c r="BO12" s="57">
        <f t="shared" si="16"/>
        <v>19.887489442231079</v>
      </c>
      <c r="BP12" s="58">
        <f t="shared" si="17"/>
        <v>7.6490344008581068E-2</v>
      </c>
      <c r="BQ12" s="225"/>
      <c r="BR12" s="226">
        <v>10</v>
      </c>
      <c r="BS12" s="228">
        <f t="shared" ref="BS12:BS26" si="49">SUM(BR12/260)</f>
        <v>3.8461538461538464E-2</v>
      </c>
      <c r="BT12" s="56">
        <f t="shared" ref="BT12:BT26" si="50">SUM(BR12*43)/2000</f>
        <v>0.215</v>
      </c>
      <c r="BU12" s="55">
        <f t="shared" ref="BU12:BU26" si="51">SUM(BR12/2251)*15.3</f>
        <v>6.7969791203909377E-2</v>
      </c>
      <c r="BV12" s="57">
        <f t="shared" ref="BV12:BV26" si="52">SUM(BT12-BU12)</f>
        <v>0.14703020879609063</v>
      </c>
      <c r="BW12" s="58">
        <f t="shared" si="18"/>
        <v>5.6550080306188709E-4</v>
      </c>
      <c r="BX12" s="225"/>
      <c r="BY12" s="45" t="s">
        <v>32</v>
      </c>
      <c r="BZ12" s="226">
        <v>0</v>
      </c>
      <c r="CA12" s="228">
        <f t="shared" ref="CA12:CA26" si="53">SUM(BZ12/260)</f>
        <v>0</v>
      </c>
      <c r="CB12" s="55">
        <f t="shared" ref="CB12:CB26" si="54">SUM(BZ12*31.92)/2000</f>
        <v>0</v>
      </c>
      <c r="CC12" s="56">
        <f t="shared" ref="CC12:CC26" si="55">SUM(BZ12/2979)*25.1</f>
        <v>0</v>
      </c>
      <c r="CD12" s="57">
        <f t="shared" si="19"/>
        <v>0</v>
      </c>
      <c r="CE12" s="64">
        <f t="shared" si="20"/>
        <v>0</v>
      </c>
      <c r="CF12" s="225"/>
      <c r="CG12" s="233">
        <v>169</v>
      </c>
      <c r="CH12" s="66">
        <f t="shared" ref="CH12:CH26" si="56">SUM(CG12/260)</f>
        <v>0.65</v>
      </c>
      <c r="CI12" s="55">
        <f t="shared" ref="CI12:CI26" si="57">SUM(CG12*92.421)/2000</f>
        <v>7.809574500000001</v>
      </c>
      <c r="CJ12" s="55">
        <f t="shared" ref="CJ12:CJ26" si="58">SUM(CG12/22501)*127.7</f>
        <v>0.95912626105506427</v>
      </c>
      <c r="CK12" s="57">
        <f t="shared" ref="CK12:CK26" si="59">SUM(CI12-CJ12)</f>
        <v>6.8504482389449368</v>
      </c>
      <c r="CL12" s="58">
        <f t="shared" si="21"/>
        <v>3.0036825000000003E-2</v>
      </c>
      <c r="CM12" s="225"/>
      <c r="CN12" s="226">
        <v>0</v>
      </c>
      <c r="CO12" s="66">
        <f t="shared" ref="CO12:CO26" si="60">SUM(CN12/260)</f>
        <v>0</v>
      </c>
      <c r="CP12" s="55">
        <f t="shared" ref="CP12:CP26" si="61">SUM(CN12*609.389)/2000</f>
        <v>0</v>
      </c>
      <c r="CQ12" s="228">
        <f t="shared" ref="CQ12:CQ26" si="62">SUM(CN12/2701)*262</f>
        <v>0</v>
      </c>
      <c r="CR12" s="57">
        <f t="shared" si="22"/>
        <v>0</v>
      </c>
      <c r="CS12" s="58">
        <f t="shared" si="23"/>
        <v>0</v>
      </c>
      <c r="CT12" s="225"/>
      <c r="CU12" s="230">
        <f t="shared" ref="CU12:CU26" si="63">SUM(J12,Q12,Y12,AD12,AK12,AP12,AT12,BA12,BH12,BO12,BV12,CD12,CK12,CR12)</f>
        <v>52.512192671135644</v>
      </c>
      <c r="CV12" s="231">
        <f t="shared" si="24"/>
        <v>0.2056589189699643</v>
      </c>
      <c r="CW12" s="232"/>
      <c r="CX12" s="233"/>
      <c r="CZ12" s="45"/>
      <c r="DA12" s="234"/>
      <c r="DB12" s="235"/>
      <c r="DC12" s="230"/>
      <c r="DD12" s="236"/>
      <c r="DE12" s="235"/>
      <c r="DF12" s="230"/>
      <c r="DG12" s="236"/>
    </row>
    <row r="13" spans="1:111" ht="18" customHeight="1">
      <c r="A13" s="45" t="s">
        <v>33</v>
      </c>
      <c r="B13" s="213">
        <v>27739</v>
      </c>
      <c r="C13" s="214">
        <f t="shared" si="25"/>
        <v>0.12236102656397498</v>
      </c>
      <c r="D13" s="215">
        <v>548922</v>
      </c>
      <c r="E13" s="216">
        <f t="shared" si="0"/>
        <v>8.5398101154656153E-2</v>
      </c>
      <c r="F13" s="217">
        <v>136</v>
      </c>
      <c r="G13" s="218">
        <f t="shared" si="26"/>
        <v>0.52307692307692311</v>
      </c>
      <c r="H13" s="56">
        <f t="shared" si="27"/>
        <v>5.56039980961447</v>
      </c>
      <c r="I13" s="55">
        <f t="shared" si="1"/>
        <v>16.591999999999999</v>
      </c>
      <c r="J13" s="57">
        <f t="shared" si="2"/>
        <v>11.031600190385529</v>
      </c>
      <c r="K13" s="219">
        <f t="shared" si="3"/>
        <v>4.2429231501482804E-2</v>
      </c>
      <c r="L13" s="220"/>
      <c r="M13" s="221">
        <f t="shared" si="28"/>
        <v>184.15334497878234</v>
      </c>
      <c r="N13" s="218">
        <f t="shared" si="29"/>
        <v>0.7082820960722398</v>
      </c>
      <c r="O13" s="222">
        <f t="shared" si="30"/>
        <v>71.083191161809978</v>
      </c>
      <c r="P13" s="223">
        <v>0</v>
      </c>
      <c r="Q13" s="219">
        <f t="shared" si="31"/>
        <v>71.083191161809978</v>
      </c>
      <c r="R13" s="219">
        <f t="shared" si="4"/>
        <v>0.27339688908388454</v>
      </c>
      <c r="S13" s="220"/>
      <c r="T13" s="45" t="s">
        <v>33</v>
      </c>
      <c r="U13" s="97">
        <f t="shared" si="32"/>
        <v>30.834978694121695</v>
      </c>
      <c r="V13" s="218">
        <f t="shared" si="33"/>
        <v>0.11859607190046806</v>
      </c>
      <c r="W13" s="55">
        <f t="shared" si="5"/>
        <v>35.861080221263535</v>
      </c>
      <c r="X13" s="55">
        <f t="shared" si="34"/>
        <v>22.416540066520213</v>
      </c>
      <c r="Y13" s="57">
        <f t="shared" si="6"/>
        <v>13.444540154743322</v>
      </c>
      <c r="Z13" s="70">
        <f t="shared" si="7"/>
        <v>5.1709769825935857E-2</v>
      </c>
      <c r="AA13" s="224"/>
      <c r="AB13" s="56">
        <v>646</v>
      </c>
      <c r="AC13" s="218">
        <f t="shared" si="35"/>
        <v>2.4846153846153847</v>
      </c>
      <c r="AD13" s="63">
        <f t="shared" si="36"/>
        <v>62.661999999999999</v>
      </c>
      <c r="AE13" s="64">
        <f t="shared" si="37"/>
        <v>0.24100769230769231</v>
      </c>
      <c r="AF13" s="225"/>
      <c r="AG13" s="226">
        <v>551</v>
      </c>
      <c r="AH13" s="218">
        <f t="shared" si="38"/>
        <v>2.1192307692307693</v>
      </c>
      <c r="AI13" s="56">
        <f t="shared" si="39"/>
        <v>14.17723</v>
      </c>
      <c r="AJ13" s="56">
        <f t="shared" si="40"/>
        <v>1.631039221905064</v>
      </c>
      <c r="AK13" s="57">
        <f t="shared" si="8"/>
        <v>12.546190778094935</v>
      </c>
      <c r="AL13" s="58">
        <f t="shared" si="9"/>
        <v>4.8254579915749753E-2</v>
      </c>
      <c r="AM13" s="225"/>
      <c r="AN13" s="45" t="s">
        <v>33</v>
      </c>
      <c r="AO13" s="227">
        <v>110</v>
      </c>
      <c r="AP13" s="63">
        <f t="shared" si="10"/>
        <v>11.485650000000001</v>
      </c>
      <c r="AQ13" s="64">
        <f t="shared" si="41"/>
        <v>4.4175576923076929E-2</v>
      </c>
      <c r="AR13" s="225"/>
      <c r="AS13" s="226">
        <v>7.1</v>
      </c>
      <c r="AT13" s="57">
        <f t="shared" si="42"/>
        <v>4.6079000000000002E-2</v>
      </c>
      <c r="AU13" s="58">
        <f t="shared" si="43"/>
        <v>1.7722692307692309E-4</v>
      </c>
      <c r="AV13" s="225"/>
      <c r="AW13" s="56">
        <v>199</v>
      </c>
      <c r="AX13" s="228">
        <f t="shared" si="44"/>
        <v>0.76538461538461533</v>
      </c>
      <c r="AY13" s="55">
        <f t="shared" si="45"/>
        <v>19.701000000000001</v>
      </c>
      <c r="AZ13" s="55">
        <v>19</v>
      </c>
      <c r="BA13" s="57">
        <f t="shared" si="11"/>
        <v>0.70100000000000051</v>
      </c>
      <c r="BB13" s="58">
        <f t="shared" si="12"/>
        <v>2.6961538461538481E-3</v>
      </c>
      <c r="BC13" s="225"/>
      <c r="BD13" s="45" t="s">
        <v>33</v>
      </c>
      <c r="BE13" s="51">
        <v>0</v>
      </c>
      <c r="BF13" s="55">
        <f t="shared" si="46"/>
        <v>0</v>
      </c>
      <c r="BG13" s="229">
        <v>0</v>
      </c>
      <c r="BH13" s="57">
        <f t="shared" si="13"/>
        <v>0</v>
      </c>
      <c r="BI13" s="58">
        <f t="shared" si="14"/>
        <v>0</v>
      </c>
      <c r="BJ13" s="211"/>
      <c r="BK13" s="226">
        <v>25</v>
      </c>
      <c r="BL13" s="228">
        <f t="shared" si="47"/>
        <v>9.6153846153846159E-2</v>
      </c>
      <c r="BM13" s="55">
        <f t="shared" si="15"/>
        <v>4.8762499999999998</v>
      </c>
      <c r="BN13" s="55">
        <f t="shared" si="48"/>
        <v>1.4940239043824701</v>
      </c>
      <c r="BO13" s="57">
        <f t="shared" si="16"/>
        <v>3.3822260956175296</v>
      </c>
      <c r="BP13" s="58">
        <f t="shared" si="17"/>
        <v>1.3008561906221268E-2</v>
      </c>
      <c r="BQ13" s="225"/>
      <c r="BR13" s="226">
        <v>458</v>
      </c>
      <c r="BS13" s="228">
        <f t="shared" si="49"/>
        <v>1.7615384615384615</v>
      </c>
      <c r="BT13" s="56">
        <f t="shared" si="50"/>
        <v>9.8469999999999995</v>
      </c>
      <c r="BU13" s="55">
        <f t="shared" si="51"/>
        <v>3.1130164371390494</v>
      </c>
      <c r="BV13" s="57">
        <f t="shared" si="52"/>
        <v>6.7339835628609501</v>
      </c>
      <c r="BW13" s="58">
        <f t="shared" si="18"/>
        <v>2.5899936780234424E-2</v>
      </c>
      <c r="BX13" s="225"/>
      <c r="BY13" s="45" t="s">
        <v>33</v>
      </c>
      <c r="BZ13" s="226">
        <v>1019</v>
      </c>
      <c r="CA13" s="228">
        <f t="shared" si="53"/>
        <v>3.9192307692307691</v>
      </c>
      <c r="CB13" s="55">
        <f t="shared" si="54"/>
        <v>16.263240000000003</v>
      </c>
      <c r="CC13" s="56">
        <f t="shared" si="55"/>
        <v>8.5857334676065804</v>
      </c>
      <c r="CD13" s="57">
        <f t="shared" si="19"/>
        <v>7.6775065323934228</v>
      </c>
      <c r="CE13" s="64">
        <f t="shared" si="20"/>
        <v>2.9528871278436241E-2</v>
      </c>
      <c r="CF13" s="225"/>
      <c r="CG13" s="233">
        <v>6355</v>
      </c>
      <c r="CH13" s="66">
        <f t="shared" si="56"/>
        <v>24.442307692307693</v>
      </c>
      <c r="CI13" s="55">
        <f t="shared" si="57"/>
        <v>293.66772750000001</v>
      </c>
      <c r="CJ13" s="55">
        <f t="shared" si="58"/>
        <v>36.066552597662323</v>
      </c>
      <c r="CK13" s="57">
        <f t="shared" si="59"/>
        <v>257.60117490233768</v>
      </c>
      <c r="CL13" s="58">
        <f t="shared" si="21"/>
        <v>1.1294912596153848</v>
      </c>
      <c r="CM13" s="225"/>
      <c r="CN13" s="226">
        <v>110</v>
      </c>
      <c r="CO13" s="66">
        <f t="shared" si="60"/>
        <v>0.42307692307692307</v>
      </c>
      <c r="CP13" s="55">
        <f t="shared" si="61"/>
        <v>33.516395000000003</v>
      </c>
      <c r="CQ13" s="228">
        <f t="shared" si="62"/>
        <v>10.670122176971493</v>
      </c>
      <c r="CR13" s="57">
        <f t="shared" si="22"/>
        <v>22.84627282302851</v>
      </c>
      <c r="CS13" s="58">
        <f t="shared" si="23"/>
        <v>8.7870280088571187E-2</v>
      </c>
      <c r="CT13" s="225"/>
      <c r="CU13" s="230">
        <f t="shared" si="63"/>
        <v>481.24141520127188</v>
      </c>
      <c r="CV13" s="231">
        <f t="shared" si="24"/>
        <v>1.9896460299959009</v>
      </c>
      <c r="CW13" s="232"/>
      <c r="CX13" s="233"/>
      <c r="CZ13" s="45"/>
      <c r="DA13" s="234"/>
      <c r="DB13" s="235"/>
      <c r="DC13" s="230"/>
      <c r="DD13" s="236"/>
      <c r="DE13" s="235"/>
      <c r="DF13" s="230"/>
      <c r="DG13" s="236"/>
    </row>
    <row r="14" spans="1:111" ht="18" customHeight="1">
      <c r="A14" s="45" t="s">
        <v>34</v>
      </c>
      <c r="B14" s="213">
        <v>105</v>
      </c>
      <c r="C14" s="214">
        <f t="shared" si="25"/>
        <v>4.6317126750125716E-4</v>
      </c>
      <c r="D14" s="215">
        <v>16766</v>
      </c>
      <c r="E14" s="216">
        <f t="shared" si="0"/>
        <v>2.6083570415450013E-3</v>
      </c>
      <c r="F14" s="217">
        <v>0</v>
      </c>
      <c r="G14" s="218">
        <f t="shared" si="26"/>
        <v>0</v>
      </c>
      <c r="H14" s="56">
        <f t="shared" si="27"/>
        <v>0</v>
      </c>
      <c r="I14" s="55">
        <f t="shared" si="1"/>
        <v>0</v>
      </c>
      <c r="J14" s="57">
        <f t="shared" si="2"/>
        <v>0</v>
      </c>
      <c r="K14" s="219">
        <f t="shared" si="3"/>
        <v>0</v>
      </c>
      <c r="L14" s="220"/>
      <c r="M14" s="221">
        <f t="shared" si="28"/>
        <v>0.69707275758939202</v>
      </c>
      <c r="N14" s="218">
        <f t="shared" si="29"/>
        <v>2.6810490676515077E-3</v>
      </c>
      <c r="O14" s="222">
        <f t="shared" si="30"/>
        <v>0.26907008442950531</v>
      </c>
      <c r="P14" s="223">
        <v>0</v>
      </c>
      <c r="Q14" s="219">
        <f t="shared" si="31"/>
        <v>0.26907008442950531</v>
      </c>
      <c r="R14" s="219">
        <f t="shared" si="4"/>
        <v>1.0348849401134819E-3</v>
      </c>
      <c r="S14" s="220"/>
      <c r="T14" s="45" t="s">
        <v>34</v>
      </c>
      <c r="U14" s="97">
        <f t="shared" si="32"/>
        <v>0.11671915941031681</v>
      </c>
      <c r="V14" s="218">
        <f t="shared" si="33"/>
        <v>4.4891984388583387E-4</v>
      </c>
      <c r="W14" s="55">
        <f t="shared" si="5"/>
        <v>0.13574438239419845</v>
      </c>
      <c r="X14" s="55">
        <f t="shared" si="34"/>
        <v>8.4852976206230307E-2</v>
      </c>
      <c r="Y14" s="57">
        <f t="shared" si="6"/>
        <v>5.0891406187968141E-2</v>
      </c>
      <c r="Z14" s="70">
        <f t="shared" si="7"/>
        <v>1.9573617764603131E-4</v>
      </c>
      <c r="AA14" s="224"/>
      <c r="AB14" s="56">
        <v>0</v>
      </c>
      <c r="AC14" s="218">
        <f t="shared" si="35"/>
        <v>0</v>
      </c>
      <c r="AD14" s="63">
        <f t="shared" si="36"/>
        <v>0</v>
      </c>
      <c r="AE14" s="64">
        <f t="shared" si="37"/>
        <v>0</v>
      </c>
      <c r="AF14" s="225"/>
      <c r="AG14" s="226">
        <v>0</v>
      </c>
      <c r="AH14" s="218">
        <f t="shared" si="38"/>
        <v>0</v>
      </c>
      <c r="AI14" s="56">
        <f t="shared" si="39"/>
        <v>0</v>
      </c>
      <c r="AJ14" s="56">
        <f t="shared" si="40"/>
        <v>0</v>
      </c>
      <c r="AK14" s="57">
        <f t="shared" si="8"/>
        <v>0</v>
      </c>
      <c r="AL14" s="58">
        <f t="shared" si="9"/>
        <v>0</v>
      </c>
      <c r="AM14" s="225"/>
      <c r="AN14" s="45" t="s">
        <v>34</v>
      </c>
      <c r="AO14" s="227">
        <v>6.3</v>
      </c>
      <c r="AP14" s="63">
        <f t="shared" si="10"/>
        <v>0.65781450000000008</v>
      </c>
      <c r="AQ14" s="64">
        <f t="shared" si="41"/>
        <v>2.5300557692307696E-3</v>
      </c>
      <c r="AR14" s="225"/>
      <c r="AS14" s="226">
        <v>0</v>
      </c>
      <c r="AT14" s="57">
        <f t="shared" si="42"/>
        <v>0</v>
      </c>
      <c r="AU14" s="58">
        <f t="shared" si="43"/>
        <v>0</v>
      </c>
      <c r="AV14" s="225"/>
      <c r="AW14" s="56">
        <v>5.7</v>
      </c>
      <c r="AX14" s="228">
        <f t="shared" si="44"/>
        <v>2.1923076923076924E-2</v>
      </c>
      <c r="AY14" s="55">
        <f t="shared" si="45"/>
        <v>0.56430000000000002</v>
      </c>
      <c r="AZ14" s="55"/>
      <c r="BA14" s="57">
        <f t="shared" si="11"/>
        <v>0.56430000000000002</v>
      </c>
      <c r="BB14" s="58">
        <f t="shared" si="12"/>
        <v>2.1703846153846157E-3</v>
      </c>
      <c r="BC14" s="225"/>
      <c r="BD14" s="45" t="s">
        <v>34</v>
      </c>
      <c r="BE14" s="51">
        <v>0</v>
      </c>
      <c r="BF14" s="55">
        <f t="shared" si="46"/>
        <v>0</v>
      </c>
      <c r="BG14" s="229">
        <v>0</v>
      </c>
      <c r="BH14" s="57">
        <f t="shared" si="13"/>
        <v>0</v>
      </c>
      <c r="BI14" s="58">
        <f t="shared" si="14"/>
        <v>0</v>
      </c>
      <c r="BJ14" s="211"/>
      <c r="BK14" s="226">
        <v>0</v>
      </c>
      <c r="BL14" s="228">
        <f t="shared" si="47"/>
        <v>0</v>
      </c>
      <c r="BM14" s="55">
        <f t="shared" si="15"/>
        <v>0</v>
      </c>
      <c r="BN14" s="55">
        <f t="shared" si="48"/>
        <v>0</v>
      </c>
      <c r="BO14" s="57">
        <f t="shared" si="16"/>
        <v>0</v>
      </c>
      <c r="BP14" s="58">
        <f t="shared" si="17"/>
        <v>0</v>
      </c>
      <c r="BQ14" s="225"/>
      <c r="BR14" s="226">
        <v>9</v>
      </c>
      <c r="BS14" s="228">
        <f t="shared" si="49"/>
        <v>3.4615384615384617E-2</v>
      </c>
      <c r="BT14" s="56">
        <f t="shared" si="50"/>
        <v>0.19350000000000001</v>
      </c>
      <c r="BU14" s="55">
        <f t="shared" si="51"/>
        <v>6.1172812083518435E-2</v>
      </c>
      <c r="BV14" s="57">
        <f t="shared" si="52"/>
        <v>0.13232718791648157</v>
      </c>
      <c r="BW14" s="58">
        <f t="shared" si="18"/>
        <v>5.0895072275569837E-4</v>
      </c>
      <c r="BX14" s="225"/>
      <c r="BY14" s="45" t="s">
        <v>34</v>
      </c>
      <c r="BZ14" s="226">
        <v>0</v>
      </c>
      <c r="CA14" s="228">
        <f t="shared" si="53"/>
        <v>0</v>
      </c>
      <c r="CB14" s="55">
        <f t="shared" si="54"/>
        <v>0</v>
      </c>
      <c r="CC14" s="56">
        <f t="shared" si="55"/>
        <v>0</v>
      </c>
      <c r="CD14" s="57">
        <f t="shared" si="19"/>
        <v>0</v>
      </c>
      <c r="CE14" s="64">
        <f t="shared" si="20"/>
        <v>0</v>
      </c>
      <c r="CF14" s="225"/>
      <c r="CG14" s="233">
        <v>10</v>
      </c>
      <c r="CH14" s="66">
        <f t="shared" si="56"/>
        <v>3.8461538461538464E-2</v>
      </c>
      <c r="CI14" s="55">
        <f t="shared" si="57"/>
        <v>0.46210500000000004</v>
      </c>
      <c r="CJ14" s="55">
        <f t="shared" si="58"/>
        <v>5.6753033198524511E-2</v>
      </c>
      <c r="CK14" s="57">
        <f t="shared" si="59"/>
        <v>0.40535196680147556</v>
      </c>
      <c r="CL14" s="58">
        <f t="shared" si="21"/>
        <v>1.7773269230769231E-3</v>
      </c>
      <c r="CM14" s="225"/>
      <c r="CN14" s="226">
        <v>0</v>
      </c>
      <c r="CO14" s="66">
        <f t="shared" si="60"/>
        <v>0</v>
      </c>
      <c r="CP14" s="55">
        <f t="shared" si="61"/>
        <v>0</v>
      </c>
      <c r="CQ14" s="228">
        <f t="shared" si="62"/>
        <v>0</v>
      </c>
      <c r="CR14" s="57">
        <f t="shared" si="22"/>
        <v>0</v>
      </c>
      <c r="CS14" s="58">
        <f t="shared" si="23"/>
        <v>0</v>
      </c>
      <c r="CT14" s="225"/>
      <c r="CU14" s="230">
        <f t="shared" si="63"/>
        <v>2.0797551453354304</v>
      </c>
      <c r="CV14" s="231">
        <f t="shared" si="24"/>
        <v>8.2173391482075198E-3</v>
      </c>
      <c r="CW14" s="232"/>
      <c r="CX14" s="233"/>
      <c r="CZ14" s="45"/>
      <c r="DA14" s="234"/>
      <c r="DB14" s="235"/>
      <c r="DC14" s="230"/>
      <c r="DD14" s="236"/>
      <c r="DE14" s="235"/>
      <c r="DF14" s="230"/>
      <c r="DG14" s="236"/>
    </row>
    <row r="15" spans="1:111" ht="18" customHeight="1">
      <c r="A15" s="45" t="s">
        <v>35</v>
      </c>
      <c r="B15" s="213">
        <v>37346</v>
      </c>
      <c r="C15" s="214">
        <f t="shared" si="25"/>
        <v>0.16473899196287572</v>
      </c>
      <c r="D15" s="215">
        <v>748930</v>
      </c>
      <c r="E15" s="216">
        <f t="shared" si="0"/>
        <v>0.11651418580008933</v>
      </c>
      <c r="F15" s="217">
        <v>247</v>
      </c>
      <c r="G15" s="218">
        <f t="shared" si="26"/>
        <v>0.95</v>
      </c>
      <c r="H15" s="56">
        <f t="shared" si="27"/>
        <v>10.098667301285102</v>
      </c>
      <c r="I15" s="55">
        <f t="shared" si="1"/>
        <v>30.134</v>
      </c>
      <c r="J15" s="57">
        <f t="shared" si="2"/>
        <v>20.035332698714896</v>
      </c>
      <c r="K15" s="219">
        <f t="shared" si="3"/>
        <v>7.7058971918134211E-2</v>
      </c>
      <c r="L15" s="220"/>
      <c r="M15" s="221">
        <f t="shared" si="28"/>
        <v>247.93218290412796</v>
      </c>
      <c r="N15" s="218">
        <f t="shared" si="29"/>
        <v>0.95358531886203057</v>
      </c>
      <c r="O15" s="222">
        <f t="shared" si="30"/>
        <v>95.701822600993381</v>
      </c>
      <c r="P15" s="223">
        <v>0</v>
      </c>
      <c r="Q15" s="219">
        <f t="shared" si="31"/>
        <v>95.701822600993381</v>
      </c>
      <c r="R15" s="219">
        <f t="shared" si="4"/>
        <v>0.36808393308074377</v>
      </c>
      <c r="S15" s="220"/>
      <c r="T15" s="45" t="s">
        <v>35</v>
      </c>
      <c r="U15" s="97">
        <f t="shared" si="32"/>
        <v>41.514225974644681</v>
      </c>
      <c r="V15" s="218">
        <f t="shared" si="33"/>
        <v>0.15967009990247955</v>
      </c>
      <c r="W15" s="55">
        <f t="shared" si="5"/>
        <v>48.281044808511766</v>
      </c>
      <c r="X15" s="55">
        <f t="shared" si="34"/>
        <v>30.180183327598829</v>
      </c>
      <c r="Y15" s="57">
        <f t="shared" si="6"/>
        <v>18.100861480912936</v>
      </c>
      <c r="Z15" s="70">
        <f t="shared" si="7"/>
        <v>6.9618698003511295E-2</v>
      </c>
      <c r="AA15" s="224"/>
      <c r="AB15" s="56">
        <v>128</v>
      </c>
      <c r="AC15" s="218">
        <f t="shared" si="35"/>
        <v>0.49230769230769234</v>
      </c>
      <c r="AD15" s="63">
        <f t="shared" si="36"/>
        <v>12.416</v>
      </c>
      <c r="AE15" s="64">
        <f t="shared" si="37"/>
        <v>4.7753846153846154E-2</v>
      </c>
      <c r="AF15" s="225"/>
      <c r="AG15" s="226">
        <v>2059</v>
      </c>
      <c r="AH15" s="218">
        <f t="shared" si="38"/>
        <v>7.9192307692307695</v>
      </c>
      <c r="AI15" s="56">
        <f t="shared" si="39"/>
        <v>52.978070000000002</v>
      </c>
      <c r="AJ15" s="56">
        <f t="shared" si="40"/>
        <v>6.0949360397505021</v>
      </c>
      <c r="AK15" s="57">
        <f t="shared" si="8"/>
        <v>46.883133960249502</v>
      </c>
      <c r="AL15" s="58">
        <f t="shared" si="9"/>
        <v>0.18031974600095962</v>
      </c>
      <c r="AM15" s="225"/>
      <c r="AN15" s="45" t="s">
        <v>35</v>
      </c>
      <c r="AO15" s="227">
        <v>37.700000000000003</v>
      </c>
      <c r="AP15" s="63">
        <f t="shared" si="10"/>
        <v>3.9364455000000009</v>
      </c>
      <c r="AQ15" s="64">
        <f t="shared" si="41"/>
        <v>1.5140175000000004E-2</v>
      </c>
      <c r="AR15" s="225"/>
      <c r="AS15" s="226">
        <v>2657.3</v>
      </c>
      <c r="AT15" s="57">
        <f t="shared" si="42"/>
        <v>17.245877</v>
      </c>
      <c r="AU15" s="58">
        <f t="shared" si="43"/>
        <v>6.6330296153846155E-2</v>
      </c>
      <c r="AV15" s="225"/>
      <c r="AW15" s="56">
        <v>71</v>
      </c>
      <c r="AX15" s="228">
        <f t="shared" si="44"/>
        <v>0.27307692307692305</v>
      </c>
      <c r="AY15" s="55">
        <f t="shared" si="45"/>
        <v>7.0289999999999999</v>
      </c>
      <c r="AZ15" s="55"/>
      <c r="BA15" s="57">
        <f t="shared" si="11"/>
        <v>7.0289999999999999</v>
      </c>
      <c r="BB15" s="58">
        <f t="shared" si="12"/>
        <v>2.7034615384615383E-2</v>
      </c>
      <c r="BC15" s="225"/>
      <c r="BD15" s="45" t="s">
        <v>35</v>
      </c>
      <c r="BE15" s="51">
        <v>0</v>
      </c>
      <c r="BF15" s="55">
        <f t="shared" si="46"/>
        <v>0</v>
      </c>
      <c r="BG15" s="229">
        <v>0</v>
      </c>
      <c r="BH15" s="57">
        <f t="shared" si="13"/>
        <v>0</v>
      </c>
      <c r="BI15" s="58">
        <f t="shared" si="14"/>
        <v>0</v>
      </c>
      <c r="BJ15" s="211"/>
      <c r="BK15" s="226">
        <v>39</v>
      </c>
      <c r="BL15" s="228">
        <f t="shared" si="47"/>
        <v>0.15</v>
      </c>
      <c r="BM15" s="55">
        <f t="shared" si="15"/>
        <v>7.6069500000000003</v>
      </c>
      <c r="BN15" s="55">
        <f t="shared" si="48"/>
        <v>2.3306772908366535</v>
      </c>
      <c r="BO15" s="57">
        <f t="shared" si="16"/>
        <v>5.2762727091633472</v>
      </c>
      <c r="BP15" s="58">
        <f t="shared" si="17"/>
        <v>2.0293356573705183E-2</v>
      </c>
      <c r="BQ15" s="225"/>
      <c r="BR15" s="226">
        <v>106</v>
      </c>
      <c r="BS15" s="228">
        <f t="shared" si="49"/>
        <v>0.40769230769230769</v>
      </c>
      <c r="BT15" s="56">
        <f t="shared" si="50"/>
        <v>2.2789999999999999</v>
      </c>
      <c r="BU15" s="55">
        <f t="shared" si="51"/>
        <v>0.72047978676143942</v>
      </c>
      <c r="BV15" s="57">
        <f t="shared" si="52"/>
        <v>1.5585202132385605</v>
      </c>
      <c r="BW15" s="58">
        <f t="shared" si="18"/>
        <v>5.9943085124560015E-3</v>
      </c>
      <c r="BX15" s="225"/>
      <c r="BY15" s="45" t="s">
        <v>35</v>
      </c>
      <c r="BZ15" s="226">
        <v>240</v>
      </c>
      <c r="CA15" s="228">
        <f t="shared" si="53"/>
        <v>0.92307692307692313</v>
      </c>
      <c r="CB15" s="55">
        <f t="shared" si="54"/>
        <v>3.8304</v>
      </c>
      <c r="CC15" s="56">
        <f t="shared" si="55"/>
        <v>2.0221550855991945</v>
      </c>
      <c r="CD15" s="57">
        <f t="shared" si="19"/>
        <v>1.8082449144008055</v>
      </c>
      <c r="CE15" s="64">
        <f t="shared" si="20"/>
        <v>6.9547881323107907E-3</v>
      </c>
      <c r="CF15" s="225"/>
      <c r="CG15" s="233">
        <v>1970</v>
      </c>
      <c r="CH15" s="66">
        <f t="shared" si="56"/>
        <v>7.5769230769230766</v>
      </c>
      <c r="CI15" s="55">
        <f t="shared" si="57"/>
        <v>91.03468500000001</v>
      </c>
      <c r="CJ15" s="55">
        <f t="shared" si="58"/>
        <v>11.180347540109327</v>
      </c>
      <c r="CK15" s="57">
        <f t="shared" si="59"/>
        <v>79.854337459890687</v>
      </c>
      <c r="CL15" s="58">
        <f t="shared" si="21"/>
        <v>0.35013340384615388</v>
      </c>
      <c r="CM15" s="225"/>
      <c r="CN15" s="226">
        <v>181</v>
      </c>
      <c r="CO15" s="66">
        <f t="shared" si="60"/>
        <v>0.69615384615384612</v>
      </c>
      <c r="CP15" s="55">
        <f t="shared" si="61"/>
        <v>55.149704499999999</v>
      </c>
      <c r="CQ15" s="228">
        <f t="shared" si="62"/>
        <v>17.55720103665309</v>
      </c>
      <c r="CR15" s="57">
        <f t="shared" si="22"/>
        <v>37.592503463346908</v>
      </c>
      <c r="CS15" s="58">
        <f t="shared" si="23"/>
        <v>0.1445865517821035</v>
      </c>
      <c r="CT15" s="225"/>
      <c r="CU15" s="230">
        <f t="shared" si="63"/>
        <v>347.43835200091104</v>
      </c>
      <c r="CV15" s="231">
        <f t="shared" si="24"/>
        <v>1.3793026905423857</v>
      </c>
      <c r="CW15" s="232"/>
      <c r="CX15" s="233"/>
      <c r="CZ15" s="45"/>
      <c r="DA15" s="234"/>
      <c r="DB15" s="235"/>
      <c r="DC15" s="230"/>
      <c r="DD15" s="236"/>
      <c r="DE15" s="235"/>
      <c r="DF15" s="230"/>
      <c r="DG15" s="236"/>
    </row>
    <row r="16" spans="1:111" ht="18" customHeight="1">
      <c r="A16" s="45" t="s">
        <v>36</v>
      </c>
      <c r="B16" s="213">
        <v>3882</v>
      </c>
      <c r="C16" s="214">
        <f t="shared" si="25"/>
        <v>1.7124103432760766E-2</v>
      </c>
      <c r="D16" s="215">
        <v>71599</v>
      </c>
      <c r="E16" s="216">
        <f t="shared" si="0"/>
        <v>1.1138957164355276E-2</v>
      </c>
      <c r="F16" s="217">
        <v>59</v>
      </c>
      <c r="G16" s="218">
        <f t="shared" si="26"/>
        <v>0.22692307692307692</v>
      </c>
      <c r="H16" s="56">
        <f t="shared" si="27"/>
        <v>2.4122322703474537</v>
      </c>
      <c r="I16" s="55">
        <f t="shared" si="1"/>
        <v>7.1980000000000004</v>
      </c>
      <c r="J16" s="57">
        <f t="shared" si="2"/>
        <v>4.7857677296525463</v>
      </c>
      <c r="K16" s="219">
        <f t="shared" si="3"/>
        <v>1.84067989602021E-2</v>
      </c>
      <c r="L16" s="220"/>
      <c r="M16" s="221">
        <f t="shared" si="28"/>
        <v>25.771775666304954</v>
      </c>
      <c r="N16" s="218">
        <f t="shared" si="29"/>
        <v>9.9122214101172904E-2</v>
      </c>
      <c r="O16" s="222">
        <f t="shared" si="30"/>
        <v>9.9479054071937121</v>
      </c>
      <c r="P16" s="223">
        <v>0</v>
      </c>
      <c r="Q16" s="219">
        <f t="shared" si="31"/>
        <v>9.9479054071937121</v>
      </c>
      <c r="R16" s="219">
        <f t="shared" si="4"/>
        <v>3.8261174643052738E-2</v>
      </c>
      <c r="S16" s="220"/>
      <c r="T16" s="45" t="s">
        <v>36</v>
      </c>
      <c r="U16" s="97">
        <f t="shared" si="32"/>
        <v>4.3152740650557133</v>
      </c>
      <c r="V16" s="218">
        <f t="shared" si="33"/>
        <v>1.6597207942521973E-2</v>
      </c>
      <c r="W16" s="55">
        <f t="shared" si="5"/>
        <v>5.0186637376597947</v>
      </c>
      <c r="X16" s="55">
        <f t="shared" si="34"/>
        <v>3.1371357488817724</v>
      </c>
      <c r="Y16" s="57">
        <f t="shared" si="6"/>
        <v>1.8815279887780223</v>
      </c>
      <c r="Z16" s="70">
        <f t="shared" si="7"/>
        <v>7.2366461106847012E-3</v>
      </c>
      <c r="AA16" s="224"/>
      <c r="AB16" s="56">
        <v>0</v>
      </c>
      <c r="AC16" s="218">
        <f t="shared" si="35"/>
        <v>0</v>
      </c>
      <c r="AD16" s="63">
        <f t="shared" si="36"/>
        <v>0</v>
      </c>
      <c r="AE16" s="64">
        <f t="shared" si="37"/>
        <v>0</v>
      </c>
      <c r="AF16" s="225"/>
      <c r="AG16" s="226">
        <v>10</v>
      </c>
      <c r="AH16" s="218">
        <f t="shared" si="38"/>
        <v>3.8461538461538464E-2</v>
      </c>
      <c r="AI16" s="56">
        <f t="shared" si="39"/>
        <v>0.25730000000000003</v>
      </c>
      <c r="AJ16" s="56">
        <f t="shared" si="40"/>
        <v>2.9601437784120947E-2</v>
      </c>
      <c r="AK16" s="57">
        <f t="shared" si="8"/>
        <v>0.22769856221587909</v>
      </c>
      <c r="AL16" s="58">
        <v>0</v>
      </c>
      <c r="AM16" s="225"/>
      <c r="AN16" s="45" t="s">
        <v>36</v>
      </c>
      <c r="AO16" s="227">
        <v>0</v>
      </c>
      <c r="AP16" s="63">
        <f t="shared" si="10"/>
        <v>0</v>
      </c>
      <c r="AQ16" s="64">
        <f t="shared" si="41"/>
        <v>0</v>
      </c>
      <c r="AR16" s="225"/>
      <c r="AS16" s="226">
        <v>0</v>
      </c>
      <c r="AT16" s="57">
        <f t="shared" si="42"/>
        <v>0</v>
      </c>
      <c r="AU16" s="58">
        <f t="shared" si="43"/>
        <v>0</v>
      </c>
      <c r="AV16" s="225"/>
      <c r="AW16" s="56">
        <v>0</v>
      </c>
      <c r="AX16" s="228">
        <f t="shared" si="44"/>
        <v>0</v>
      </c>
      <c r="AY16" s="55">
        <f t="shared" si="45"/>
        <v>0</v>
      </c>
      <c r="AZ16" s="55"/>
      <c r="BA16" s="57">
        <f t="shared" si="11"/>
        <v>0</v>
      </c>
      <c r="BB16" s="58">
        <f t="shared" si="12"/>
        <v>0</v>
      </c>
      <c r="BC16" s="225"/>
      <c r="BD16" s="45" t="s">
        <v>36</v>
      </c>
      <c r="BE16" s="51">
        <v>0</v>
      </c>
      <c r="BF16" s="55">
        <f t="shared" si="46"/>
        <v>0</v>
      </c>
      <c r="BG16" s="229">
        <v>0</v>
      </c>
      <c r="BH16" s="57">
        <f t="shared" si="13"/>
        <v>0</v>
      </c>
      <c r="BI16" s="58">
        <f t="shared" si="14"/>
        <v>0</v>
      </c>
      <c r="BJ16" s="211"/>
      <c r="BK16" s="226">
        <v>10</v>
      </c>
      <c r="BL16" s="228">
        <f t="shared" si="47"/>
        <v>3.8461538461538464E-2</v>
      </c>
      <c r="BM16" s="55">
        <f t="shared" si="15"/>
        <v>1.9504999999999999</v>
      </c>
      <c r="BN16" s="55">
        <f t="shared" si="48"/>
        <v>0.59760956175298807</v>
      </c>
      <c r="BO16" s="57">
        <f t="shared" si="16"/>
        <v>1.3528904382470119</v>
      </c>
      <c r="BP16" s="58">
        <f t="shared" si="17"/>
        <v>5.2034247624885071E-3</v>
      </c>
      <c r="BQ16" s="225"/>
      <c r="BR16" s="226">
        <v>65</v>
      </c>
      <c r="BS16" s="228">
        <f t="shared" si="49"/>
        <v>0.25</v>
      </c>
      <c r="BT16" s="56">
        <f t="shared" si="50"/>
        <v>1.3975</v>
      </c>
      <c r="BU16" s="55">
        <f t="shared" si="51"/>
        <v>0.44180364282541096</v>
      </c>
      <c r="BV16" s="57">
        <f t="shared" si="52"/>
        <v>0.95569635717458901</v>
      </c>
      <c r="BW16" s="58">
        <f t="shared" si="18"/>
        <v>3.6757552199022654E-3</v>
      </c>
      <c r="BX16" s="225"/>
      <c r="BY16" s="45" t="s">
        <v>36</v>
      </c>
      <c r="BZ16" s="226">
        <v>188</v>
      </c>
      <c r="CA16" s="228">
        <f t="shared" si="53"/>
        <v>0.72307692307692306</v>
      </c>
      <c r="CB16" s="55">
        <f t="shared" si="54"/>
        <v>3.00048</v>
      </c>
      <c r="CC16" s="56">
        <f t="shared" si="55"/>
        <v>1.5840214837193691</v>
      </c>
      <c r="CD16" s="57">
        <f t="shared" si="19"/>
        <v>1.4164585162806309</v>
      </c>
      <c r="CE16" s="64">
        <f t="shared" si="20"/>
        <v>5.4479173703101185E-3</v>
      </c>
      <c r="CF16" s="225"/>
      <c r="CG16" s="233">
        <v>700</v>
      </c>
      <c r="CH16" s="66">
        <f t="shared" si="56"/>
        <v>2.6923076923076925</v>
      </c>
      <c r="CI16" s="55">
        <f t="shared" si="57"/>
        <v>32.347349999999999</v>
      </c>
      <c r="CJ16" s="55">
        <f t="shared" si="58"/>
        <v>3.9727123238967157</v>
      </c>
      <c r="CK16" s="57">
        <f t="shared" si="59"/>
        <v>28.374637676103283</v>
      </c>
      <c r="CL16" s="58">
        <f t="shared" si="21"/>
        <v>0.12441288461538461</v>
      </c>
      <c r="CM16" s="225"/>
      <c r="CN16" s="226">
        <v>0</v>
      </c>
      <c r="CO16" s="66">
        <f t="shared" si="60"/>
        <v>0</v>
      </c>
      <c r="CP16" s="55">
        <f t="shared" si="61"/>
        <v>0</v>
      </c>
      <c r="CQ16" s="228">
        <f t="shared" si="62"/>
        <v>0</v>
      </c>
      <c r="CR16" s="57">
        <f t="shared" si="22"/>
        <v>0</v>
      </c>
      <c r="CS16" s="58">
        <f t="shared" si="23"/>
        <v>0</v>
      </c>
      <c r="CT16" s="225"/>
      <c r="CU16" s="230">
        <f t="shared" si="63"/>
        <v>48.942582675645674</v>
      </c>
      <c r="CV16" s="231">
        <f t="shared" si="24"/>
        <v>0.20264460168202503</v>
      </c>
      <c r="CW16" s="232"/>
      <c r="CX16" s="233"/>
      <c r="CZ16" s="45"/>
      <c r="DA16" s="234"/>
      <c r="DB16" s="235"/>
      <c r="DC16" s="230"/>
      <c r="DD16" s="236"/>
      <c r="DE16" s="235"/>
      <c r="DF16" s="230"/>
      <c r="DG16" s="236"/>
    </row>
    <row r="17" spans="1:112" ht="18" customHeight="1">
      <c r="A17" s="45" t="s">
        <v>37</v>
      </c>
      <c r="B17" s="213">
        <v>20243</v>
      </c>
      <c r="C17" s="214">
        <f t="shared" si="25"/>
        <v>8.9295009219313798E-2</v>
      </c>
      <c r="D17" s="215">
        <v>463783</v>
      </c>
      <c r="E17" s="216">
        <f t="shared" si="0"/>
        <v>7.2152669318791912E-2</v>
      </c>
      <c r="F17" s="217">
        <v>159</v>
      </c>
      <c r="G17" s="218">
        <f t="shared" si="26"/>
        <v>0.61153846153846159</v>
      </c>
      <c r="H17" s="56">
        <f t="shared" si="27"/>
        <v>6.5007615421227989</v>
      </c>
      <c r="I17" s="55">
        <f t="shared" si="1"/>
        <v>19.398</v>
      </c>
      <c r="J17" s="57">
        <f t="shared" si="2"/>
        <v>12.897238457877201</v>
      </c>
      <c r="K17" s="219">
        <f t="shared" si="3"/>
        <v>4.9604763299527697E-2</v>
      </c>
      <c r="L17" s="220"/>
      <c r="M17" s="221">
        <f t="shared" si="28"/>
        <v>134.38898887506727</v>
      </c>
      <c r="N17" s="218">
        <f t="shared" si="29"/>
        <v>0.51688072644256644</v>
      </c>
      <c r="O17" s="222">
        <f t="shared" si="30"/>
        <v>51.874149705775963</v>
      </c>
      <c r="P17" s="223">
        <v>0.12</v>
      </c>
      <c r="Q17" s="219">
        <f t="shared" si="31"/>
        <v>51.754149705775966</v>
      </c>
      <c r="R17" s="219">
        <f t="shared" si="4"/>
        <v>0.19905442194529219</v>
      </c>
      <c r="S17" s="220"/>
      <c r="T17" s="45" t="s">
        <v>37</v>
      </c>
      <c r="U17" s="97">
        <f t="shared" si="32"/>
        <v>22.502342323267076</v>
      </c>
      <c r="V17" s="218">
        <f t="shared" si="33"/>
        <v>8.6547470474104132E-2</v>
      </c>
      <c r="W17" s="55">
        <f t="shared" si="5"/>
        <v>26.17022412195961</v>
      </c>
      <c r="X17" s="55">
        <f t="shared" si="34"/>
        <v>16.358845688978288</v>
      </c>
      <c r="Y17" s="57">
        <f t="shared" si="6"/>
        <v>9.8113784329813214</v>
      </c>
      <c r="Z17" s="70">
        <f t="shared" si="7"/>
        <v>3.7736070896082004E-2</v>
      </c>
      <c r="AA17" s="224"/>
      <c r="AB17" s="56">
        <v>45</v>
      </c>
      <c r="AC17" s="218">
        <f t="shared" si="35"/>
        <v>0.17307692307692307</v>
      </c>
      <c r="AD17" s="63">
        <f t="shared" si="36"/>
        <v>4.3650000000000002</v>
      </c>
      <c r="AE17" s="64">
        <f t="shared" si="37"/>
        <v>1.678846153846154E-2</v>
      </c>
      <c r="AF17" s="225"/>
      <c r="AG17" s="226">
        <v>1018</v>
      </c>
      <c r="AH17" s="218">
        <f t="shared" si="38"/>
        <v>3.9153846153846152</v>
      </c>
      <c r="AI17" s="56">
        <f t="shared" si="39"/>
        <v>26.19314</v>
      </c>
      <c r="AJ17" s="56">
        <f t="shared" si="40"/>
        <v>3.0134263664235119</v>
      </c>
      <c r="AK17" s="57">
        <f t="shared" si="8"/>
        <v>23.179713633576487</v>
      </c>
      <c r="AL17" s="58">
        <f t="shared" si="9"/>
        <v>8.9152744744524948E-2</v>
      </c>
      <c r="AM17" s="225"/>
      <c r="AN17" s="45" t="s">
        <v>37</v>
      </c>
      <c r="AO17" s="227">
        <v>0</v>
      </c>
      <c r="AP17" s="63">
        <f t="shared" si="10"/>
        <v>0</v>
      </c>
      <c r="AQ17" s="64">
        <f t="shared" si="41"/>
        <v>0</v>
      </c>
      <c r="AR17" s="225"/>
      <c r="AS17" s="226">
        <v>285</v>
      </c>
      <c r="AT17" s="57">
        <f t="shared" si="42"/>
        <v>1.84965</v>
      </c>
      <c r="AU17" s="58">
        <f t="shared" si="43"/>
        <v>7.1140384615384616E-3</v>
      </c>
      <c r="AV17" s="225"/>
      <c r="AW17" s="56">
        <v>0</v>
      </c>
      <c r="AX17" s="228">
        <f t="shared" si="44"/>
        <v>0</v>
      </c>
      <c r="AY17" s="55">
        <f t="shared" si="45"/>
        <v>0</v>
      </c>
      <c r="AZ17" s="55"/>
      <c r="BA17" s="57">
        <f t="shared" si="11"/>
        <v>0</v>
      </c>
      <c r="BB17" s="58">
        <f t="shared" si="12"/>
        <v>0</v>
      </c>
      <c r="BC17" s="225"/>
      <c r="BD17" s="45" t="s">
        <v>37</v>
      </c>
      <c r="BE17" s="51">
        <v>0</v>
      </c>
      <c r="BF17" s="55">
        <f t="shared" si="46"/>
        <v>0</v>
      </c>
      <c r="BG17" s="229">
        <v>0</v>
      </c>
      <c r="BH17" s="57">
        <f t="shared" si="13"/>
        <v>0</v>
      </c>
      <c r="BI17" s="58">
        <f t="shared" si="14"/>
        <v>0</v>
      </c>
      <c r="BJ17" s="211"/>
      <c r="BK17" s="226">
        <v>158</v>
      </c>
      <c r="BL17" s="228">
        <f t="shared" si="47"/>
        <v>0.60769230769230764</v>
      </c>
      <c r="BM17" s="55">
        <f t="shared" si="15"/>
        <v>30.817900000000002</v>
      </c>
      <c r="BN17" s="55">
        <f t="shared" si="48"/>
        <v>9.4422310756972117</v>
      </c>
      <c r="BO17" s="57">
        <f t="shared" si="16"/>
        <v>21.37566892430279</v>
      </c>
      <c r="BP17" s="58">
        <f t="shared" si="17"/>
        <v>8.2214111247318422E-2</v>
      </c>
      <c r="BQ17" s="225"/>
      <c r="BR17" s="226">
        <v>236</v>
      </c>
      <c r="BS17" s="228">
        <f t="shared" si="49"/>
        <v>0.90769230769230769</v>
      </c>
      <c r="BT17" s="56">
        <f t="shared" si="50"/>
        <v>5.0739999999999998</v>
      </c>
      <c r="BU17" s="55">
        <f t="shared" si="51"/>
        <v>1.6040870724122613</v>
      </c>
      <c r="BV17" s="57">
        <f t="shared" si="52"/>
        <v>3.4699129275877385</v>
      </c>
      <c r="BW17" s="58">
        <f t="shared" si="18"/>
        <v>1.3345818952260533E-2</v>
      </c>
      <c r="BX17" s="225"/>
      <c r="BY17" s="45" t="s">
        <v>37</v>
      </c>
      <c r="BZ17" s="226">
        <v>170</v>
      </c>
      <c r="CA17" s="228">
        <f t="shared" si="53"/>
        <v>0.65384615384615385</v>
      </c>
      <c r="CB17" s="55">
        <f t="shared" si="54"/>
        <v>2.7132000000000001</v>
      </c>
      <c r="CC17" s="56">
        <f t="shared" si="55"/>
        <v>1.4323598522994294</v>
      </c>
      <c r="CD17" s="57">
        <f t="shared" si="19"/>
        <v>1.2808401477005706</v>
      </c>
      <c r="CE17" s="64">
        <f t="shared" si="20"/>
        <v>4.9263082603868101E-3</v>
      </c>
      <c r="CF17" s="225"/>
      <c r="CG17" s="233">
        <v>2081</v>
      </c>
      <c r="CH17" s="66">
        <f t="shared" si="56"/>
        <v>8.0038461538461547</v>
      </c>
      <c r="CI17" s="55">
        <f t="shared" si="57"/>
        <v>96.164050500000016</v>
      </c>
      <c r="CJ17" s="55">
        <f t="shared" si="58"/>
        <v>11.81030620861295</v>
      </c>
      <c r="CK17" s="57">
        <f t="shared" si="59"/>
        <v>84.353744291387073</v>
      </c>
      <c r="CL17" s="58">
        <f t="shared" si="21"/>
        <v>0.36986173269230777</v>
      </c>
      <c r="CM17" s="225"/>
      <c r="CN17" s="226">
        <v>858</v>
      </c>
      <c r="CO17" s="66">
        <f t="shared" si="60"/>
        <v>3.3</v>
      </c>
      <c r="CP17" s="55">
        <f t="shared" si="61"/>
        <v>261.42788100000001</v>
      </c>
      <c r="CQ17" s="228">
        <f t="shared" si="62"/>
        <v>83.226952980377646</v>
      </c>
      <c r="CR17" s="57">
        <f t="shared" si="22"/>
        <v>178.20092801962238</v>
      </c>
      <c r="CS17" s="58">
        <f t="shared" si="23"/>
        <v>0.68538818469085527</v>
      </c>
      <c r="CT17" s="225"/>
      <c r="CU17" s="230">
        <f t="shared" si="63"/>
        <v>392.53822454081148</v>
      </c>
      <c r="CV17" s="231">
        <f t="shared" si="24"/>
        <v>1.5551866567285555</v>
      </c>
      <c r="CW17" s="232"/>
      <c r="CX17" s="233"/>
      <c r="CZ17" s="45"/>
      <c r="DA17" s="234"/>
      <c r="DB17" s="235"/>
      <c r="DC17" s="230"/>
      <c r="DD17" s="236"/>
      <c r="DE17" s="235"/>
      <c r="DF17" s="230"/>
      <c r="DG17" s="236"/>
    </row>
    <row r="18" spans="1:112" ht="18" customHeight="1">
      <c r="A18" s="45" t="s">
        <v>38</v>
      </c>
      <c r="B18" s="213">
        <v>3408</v>
      </c>
      <c r="C18" s="214">
        <f t="shared" si="25"/>
        <v>1.5033215996612233E-2</v>
      </c>
      <c r="D18" s="215">
        <v>157822</v>
      </c>
      <c r="E18" s="216">
        <f t="shared" si="0"/>
        <v>2.455303143330044E-2</v>
      </c>
      <c r="F18" s="217">
        <v>227</v>
      </c>
      <c r="G18" s="218">
        <f t="shared" si="26"/>
        <v>0.87307692307692308</v>
      </c>
      <c r="H18" s="56">
        <f t="shared" si="27"/>
        <v>9.2809614469300339</v>
      </c>
      <c r="I18" s="55">
        <f t="shared" si="1"/>
        <v>27.693999999999999</v>
      </c>
      <c r="J18" s="57">
        <f t="shared" si="2"/>
        <v>18.413038553069967</v>
      </c>
      <c r="K18" s="219">
        <f t="shared" si="3"/>
        <v>7.081937905026911E-2</v>
      </c>
      <c r="L18" s="220"/>
      <c r="M18" s="221">
        <f t="shared" si="28"/>
        <v>22.624990074901412</v>
      </c>
      <c r="N18" s="218">
        <f t="shared" si="29"/>
        <v>8.7019192595774661E-2</v>
      </c>
      <c r="O18" s="222">
        <f t="shared" si="30"/>
        <v>8.7332461689119452</v>
      </c>
      <c r="P18" s="223">
        <v>3.7</v>
      </c>
      <c r="Q18" s="219">
        <f t="shared" si="31"/>
        <v>5.033246168911945</v>
      </c>
      <c r="R18" s="219">
        <f t="shared" si="4"/>
        <v>1.9358639111199789E-2</v>
      </c>
      <c r="S18" s="220"/>
      <c r="T18" s="45" t="s">
        <v>38</v>
      </c>
      <c r="U18" s="97">
        <f t="shared" si="32"/>
        <v>3.7883704311462827</v>
      </c>
      <c r="V18" s="218">
        <f t="shared" si="33"/>
        <v>1.457065550440878E-2</v>
      </c>
      <c r="W18" s="55">
        <f t="shared" si="5"/>
        <v>4.4058748114231268</v>
      </c>
      <c r="X18" s="55">
        <f t="shared" si="34"/>
        <v>2.7540851705793608</v>
      </c>
      <c r="Y18" s="57">
        <f t="shared" si="6"/>
        <v>1.651789640843766</v>
      </c>
      <c r="Z18" s="70">
        <f t="shared" si="7"/>
        <v>6.3530370801683309E-3</v>
      </c>
      <c r="AA18" s="224"/>
      <c r="AB18" s="56">
        <v>0</v>
      </c>
      <c r="AC18" s="218">
        <f t="shared" si="35"/>
        <v>0</v>
      </c>
      <c r="AD18" s="63">
        <f t="shared" si="36"/>
        <v>0</v>
      </c>
      <c r="AE18" s="64">
        <f t="shared" si="37"/>
        <v>0</v>
      </c>
      <c r="AF18" s="225"/>
      <c r="AG18" s="226">
        <v>341</v>
      </c>
      <c r="AH18" s="218">
        <f t="shared" si="38"/>
        <v>1.3115384615384615</v>
      </c>
      <c r="AI18" s="56">
        <f t="shared" si="39"/>
        <v>8.77393</v>
      </c>
      <c r="AJ18" s="56">
        <f t="shared" si="40"/>
        <v>1.0094090284385242</v>
      </c>
      <c r="AK18" s="57">
        <f t="shared" si="8"/>
        <v>7.7645209715614758</v>
      </c>
      <c r="AL18" s="58">
        <f t="shared" si="9"/>
        <v>2.9863542198313369E-2</v>
      </c>
      <c r="AM18" s="225"/>
      <c r="AN18" s="45" t="s">
        <v>38</v>
      </c>
      <c r="AO18" s="227">
        <v>0</v>
      </c>
      <c r="AP18" s="63">
        <f t="shared" si="10"/>
        <v>0</v>
      </c>
      <c r="AQ18" s="64">
        <f t="shared" si="41"/>
        <v>0</v>
      </c>
      <c r="AR18" s="225"/>
      <c r="AS18" s="226">
        <v>7.1</v>
      </c>
      <c r="AT18" s="57">
        <f t="shared" si="42"/>
        <v>4.6079000000000002E-2</v>
      </c>
      <c r="AU18" s="58">
        <f t="shared" si="43"/>
        <v>1.7722692307692309E-4</v>
      </c>
      <c r="AV18" s="225"/>
      <c r="AW18" s="56">
        <v>0</v>
      </c>
      <c r="AX18" s="228">
        <f t="shared" si="44"/>
        <v>0</v>
      </c>
      <c r="AY18" s="55">
        <f t="shared" si="45"/>
        <v>0</v>
      </c>
      <c r="AZ18" s="55"/>
      <c r="BA18" s="57">
        <f t="shared" si="11"/>
        <v>0</v>
      </c>
      <c r="BB18" s="58">
        <f t="shared" si="12"/>
        <v>0</v>
      </c>
      <c r="BC18" s="225"/>
      <c r="BD18" s="45" t="s">
        <v>38</v>
      </c>
      <c r="BE18" s="51">
        <v>0</v>
      </c>
      <c r="BF18" s="55">
        <f t="shared" si="46"/>
        <v>0</v>
      </c>
      <c r="BG18" s="229">
        <v>0</v>
      </c>
      <c r="BH18" s="57">
        <f t="shared" si="13"/>
        <v>0</v>
      </c>
      <c r="BI18" s="58">
        <f t="shared" si="14"/>
        <v>0</v>
      </c>
      <c r="BJ18" s="211"/>
      <c r="BK18" s="226">
        <v>0</v>
      </c>
      <c r="BL18" s="228">
        <f t="shared" si="47"/>
        <v>0</v>
      </c>
      <c r="BM18" s="55">
        <f t="shared" si="15"/>
        <v>0</v>
      </c>
      <c r="BN18" s="55">
        <f t="shared" si="48"/>
        <v>0</v>
      </c>
      <c r="BO18" s="57">
        <f t="shared" si="16"/>
        <v>0</v>
      </c>
      <c r="BP18" s="58">
        <f t="shared" si="17"/>
        <v>0</v>
      </c>
      <c r="BQ18" s="225"/>
      <c r="BR18" s="226">
        <v>178</v>
      </c>
      <c r="BS18" s="228">
        <f t="shared" si="49"/>
        <v>0.68461538461538463</v>
      </c>
      <c r="BT18" s="56">
        <f t="shared" si="50"/>
        <v>3.827</v>
      </c>
      <c r="BU18" s="55">
        <f t="shared" si="51"/>
        <v>1.2098622834295869</v>
      </c>
      <c r="BV18" s="57">
        <f t="shared" si="52"/>
        <v>2.6171377165704133</v>
      </c>
      <c r="BW18" s="58">
        <f t="shared" si="18"/>
        <v>1.006591429450159E-2</v>
      </c>
      <c r="BX18" s="225"/>
      <c r="BY18" s="45" t="s">
        <v>38</v>
      </c>
      <c r="BZ18" s="226">
        <v>114</v>
      </c>
      <c r="CA18" s="228">
        <f t="shared" si="53"/>
        <v>0.43846153846153846</v>
      </c>
      <c r="CB18" s="55">
        <f t="shared" si="54"/>
        <v>1.8194399999999999</v>
      </c>
      <c r="CC18" s="56">
        <f t="shared" si="55"/>
        <v>0.96052366565961733</v>
      </c>
      <c r="CD18" s="57">
        <f t="shared" si="19"/>
        <v>0.85891633434038261</v>
      </c>
      <c r="CE18" s="64">
        <f t="shared" si="20"/>
        <v>3.3035243628476256E-3</v>
      </c>
      <c r="CF18" s="225"/>
      <c r="CG18" s="233">
        <v>168</v>
      </c>
      <c r="CH18" s="66">
        <f t="shared" si="56"/>
        <v>0.64615384615384619</v>
      </c>
      <c r="CI18" s="55">
        <f t="shared" si="57"/>
        <v>7.7633640000000002</v>
      </c>
      <c r="CJ18" s="55">
        <f t="shared" si="58"/>
        <v>0.95345095773521182</v>
      </c>
      <c r="CK18" s="57">
        <f t="shared" si="59"/>
        <v>6.809913042264788</v>
      </c>
      <c r="CL18" s="58">
        <f t="shared" si="21"/>
        <v>2.9859092307692309E-2</v>
      </c>
      <c r="CM18" s="225"/>
      <c r="CN18" s="226">
        <v>171</v>
      </c>
      <c r="CO18" s="66">
        <f t="shared" si="60"/>
        <v>0.65769230769230769</v>
      </c>
      <c r="CP18" s="55">
        <f t="shared" si="61"/>
        <v>52.102759499999998</v>
      </c>
      <c r="CQ18" s="228">
        <f t="shared" si="62"/>
        <v>16.587189929655683</v>
      </c>
      <c r="CR18" s="57">
        <f t="shared" si="22"/>
        <v>35.515569570344312</v>
      </c>
      <c r="CS18" s="58">
        <f t="shared" si="23"/>
        <v>0.13659834450132427</v>
      </c>
      <c r="CT18" s="225"/>
      <c r="CU18" s="230">
        <f t="shared" si="63"/>
        <v>78.710210997907041</v>
      </c>
      <c r="CV18" s="231">
        <f t="shared" si="24"/>
        <v>0.30639869982939333</v>
      </c>
      <c r="CW18" s="232"/>
      <c r="CX18" s="233"/>
      <c r="CZ18" s="45"/>
      <c r="DA18" s="234"/>
      <c r="DB18" s="235"/>
      <c r="DC18" s="230"/>
      <c r="DD18" s="236"/>
      <c r="DE18" s="235"/>
      <c r="DF18" s="230"/>
      <c r="DG18" s="236"/>
    </row>
    <row r="19" spans="1:112" ht="18" customHeight="1">
      <c r="A19" s="45" t="s">
        <v>39</v>
      </c>
      <c r="B19" s="213">
        <v>56239</v>
      </c>
      <c r="C19" s="214">
        <f t="shared" si="25"/>
        <v>0.24807894202860192</v>
      </c>
      <c r="D19" s="215">
        <v>1518171</v>
      </c>
      <c r="E19" s="216">
        <f t="shared" si="0"/>
        <v>0.23618823918164236</v>
      </c>
      <c r="F19" s="217">
        <v>457</v>
      </c>
      <c r="G19" s="218">
        <f t="shared" si="26"/>
        <v>1.7576923076923077</v>
      </c>
      <c r="H19" s="56">
        <f t="shared" si="27"/>
        <v>18.684578772013328</v>
      </c>
      <c r="I19" s="55">
        <f t="shared" si="1"/>
        <v>55.753999999999998</v>
      </c>
      <c r="J19" s="57">
        <f t="shared" si="2"/>
        <v>37.069421227986666</v>
      </c>
      <c r="K19" s="219">
        <f t="shared" si="3"/>
        <v>0.14257469703071796</v>
      </c>
      <c r="L19" s="220"/>
      <c r="M19" s="221">
        <f t="shared" si="28"/>
        <v>373.35880775304588</v>
      </c>
      <c r="N19" s="218">
        <f t="shared" si="29"/>
        <v>1.435995414434792</v>
      </c>
      <c r="O19" s="222">
        <f t="shared" si="30"/>
        <v>144.11649979267571</v>
      </c>
      <c r="P19" s="223">
        <v>0</v>
      </c>
      <c r="Q19" s="219">
        <f t="shared" si="31"/>
        <v>144.11649979267571</v>
      </c>
      <c r="R19" s="219">
        <f t="shared" si="4"/>
        <v>0.55429422997182964</v>
      </c>
      <c r="S19" s="220"/>
      <c r="T19" s="45" t="s">
        <v>39</v>
      </c>
      <c r="U19" s="97">
        <f t="shared" si="32"/>
        <v>62.515893391207683</v>
      </c>
      <c r="V19" s="218">
        <f t="shared" si="33"/>
        <v>0.24044574381233724</v>
      </c>
      <c r="W19" s="55">
        <f t="shared" si="5"/>
        <v>72.705984013974529</v>
      </c>
      <c r="X19" s="55">
        <f t="shared" si="34"/>
        <v>45.448062179639869</v>
      </c>
      <c r="Y19" s="57">
        <f t="shared" si="6"/>
        <v>27.25792183433466</v>
      </c>
      <c r="Z19" s="70">
        <f t="shared" si="7"/>
        <v>0.10483816090128716</v>
      </c>
      <c r="AA19" s="224"/>
      <c r="AB19" s="56">
        <v>677</v>
      </c>
      <c r="AC19" s="218">
        <f t="shared" si="35"/>
        <v>2.6038461538461539</v>
      </c>
      <c r="AD19" s="63">
        <f t="shared" si="36"/>
        <v>65.668999999999997</v>
      </c>
      <c r="AE19" s="64">
        <f t="shared" si="37"/>
        <v>0.2525730769230769</v>
      </c>
      <c r="AF19" s="225"/>
      <c r="AG19" s="226">
        <v>2990</v>
      </c>
      <c r="AH19" s="218">
        <f t="shared" si="38"/>
        <v>11.5</v>
      </c>
      <c r="AI19" s="56">
        <f t="shared" si="39"/>
        <v>76.932699999999997</v>
      </c>
      <c r="AJ19" s="56">
        <f t="shared" si="40"/>
        <v>8.8508298974521615</v>
      </c>
      <c r="AK19" s="57">
        <f t="shared" si="8"/>
        <v>68.081870102547839</v>
      </c>
      <c r="AL19" s="58">
        <f t="shared" si="9"/>
        <v>0.26185334654826092</v>
      </c>
      <c r="AM19" s="225"/>
      <c r="AN19" s="45" t="s">
        <v>39</v>
      </c>
      <c r="AO19" s="227">
        <v>6.3</v>
      </c>
      <c r="AP19" s="63">
        <f t="shared" si="10"/>
        <v>0.65781450000000008</v>
      </c>
      <c r="AQ19" s="64">
        <f t="shared" si="41"/>
        <v>2.5300557692307696E-3</v>
      </c>
      <c r="AR19" s="225"/>
      <c r="AS19" s="226">
        <v>307</v>
      </c>
      <c r="AT19" s="57">
        <f t="shared" si="42"/>
        <v>1.9924300000000001</v>
      </c>
      <c r="AU19" s="58">
        <f t="shared" si="43"/>
        <v>7.6631923076923084E-3</v>
      </c>
      <c r="AV19" s="225"/>
      <c r="AW19" s="56">
        <v>10.5</v>
      </c>
      <c r="AX19" s="228">
        <f t="shared" si="44"/>
        <v>4.0384615384615387E-2</v>
      </c>
      <c r="AY19" s="55">
        <f t="shared" si="45"/>
        <v>1.0395000000000001</v>
      </c>
      <c r="AZ19" s="55"/>
      <c r="BA19" s="57">
        <f t="shared" si="11"/>
        <v>1.0395000000000001</v>
      </c>
      <c r="BB19" s="58">
        <f t="shared" si="12"/>
        <v>3.9980769230769236E-3</v>
      </c>
      <c r="BC19" s="225"/>
      <c r="BD19" s="45" t="s">
        <v>39</v>
      </c>
      <c r="BE19" s="51">
        <v>7</v>
      </c>
      <c r="BF19" s="55">
        <f t="shared" si="46"/>
        <v>0.72905000000000009</v>
      </c>
      <c r="BG19" s="229">
        <v>0</v>
      </c>
      <c r="BH19" s="57">
        <f t="shared" si="13"/>
        <v>0.72905000000000009</v>
      </c>
      <c r="BI19" s="58">
        <f t="shared" si="14"/>
        <v>2.804038461538462E-3</v>
      </c>
      <c r="BJ19" s="211"/>
      <c r="BK19" s="226">
        <v>286</v>
      </c>
      <c r="BL19" s="228">
        <f t="shared" si="47"/>
        <v>1.1000000000000001</v>
      </c>
      <c r="BM19" s="55">
        <f t="shared" si="15"/>
        <v>55.784300000000002</v>
      </c>
      <c r="BN19" s="55">
        <f t="shared" si="48"/>
        <v>17.091633466135459</v>
      </c>
      <c r="BO19" s="57">
        <f t="shared" si="16"/>
        <v>38.692666533864539</v>
      </c>
      <c r="BP19" s="58">
        <f t="shared" si="17"/>
        <v>0.14881794820717131</v>
      </c>
      <c r="BQ19" s="225"/>
      <c r="BR19" s="226">
        <v>327</v>
      </c>
      <c r="BS19" s="228">
        <f t="shared" si="49"/>
        <v>1.2576923076923077</v>
      </c>
      <c r="BT19" s="56">
        <f t="shared" si="50"/>
        <v>7.0305</v>
      </c>
      <c r="BU19" s="55">
        <f t="shared" si="51"/>
        <v>2.2226121723678367</v>
      </c>
      <c r="BV19" s="57">
        <f t="shared" si="52"/>
        <v>4.8078878276321628</v>
      </c>
      <c r="BW19" s="58">
        <f t="shared" si="18"/>
        <v>1.8491876260123705E-2</v>
      </c>
      <c r="BX19" s="225"/>
      <c r="BY19" s="45" t="s">
        <v>39</v>
      </c>
      <c r="BZ19" s="226">
        <v>357</v>
      </c>
      <c r="CA19" s="228">
        <f t="shared" si="53"/>
        <v>1.3730769230769231</v>
      </c>
      <c r="CB19" s="55">
        <f t="shared" si="54"/>
        <v>5.6977200000000003</v>
      </c>
      <c r="CC19" s="56">
        <f t="shared" si="55"/>
        <v>3.007955689828802</v>
      </c>
      <c r="CD19" s="57">
        <f t="shared" si="19"/>
        <v>2.6897643101711983</v>
      </c>
      <c r="CE19" s="64">
        <f t="shared" si="20"/>
        <v>1.0345247346812301E-2</v>
      </c>
      <c r="CF19" s="225"/>
      <c r="CG19" s="233">
        <v>5190</v>
      </c>
      <c r="CH19" s="66">
        <f t="shared" si="56"/>
        <v>19.96153846153846</v>
      </c>
      <c r="CI19" s="55">
        <f t="shared" si="57"/>
        <v>239.83249500000002</v>
      </c>
      <c r="CJ19" s="55">
        <f t="shared" si="58"/>
        <v>29.454824230034223</v>
      </c>
      <c r="CK19" s="57">
        <f t="shared" si="59"/>
        <v>210.37767076996579</v>
      </c>
      <c r="CL19" s="58">
        <f t="shared" si="21"/>
        <v>0.92243267307692312</v>
      </c>
      <c r="CM19" s="225"/>
      <c r="CN19" s="226">
        <v>59</v>
      </c>
      <c r="CO19" s="66">
        <f t="shared" si="60"/>
        <v>0.22692307692307692</v>
      </c>
      <c r="CP19" s="55">
        <f t="shared" si="61"/>
        <v>17.976975500000002</v>
      </c>
      <c r="CQ19" s="228">
        <f t="shared" si="62"/>
        <v>5.7230655312847087</v>
      </c>
      <c r="CR19" s="57">
        <f t="shared" si="22"/>
        <v>12.253909968715293</v>
      </c>
      <c r="CS19" s="58">
        <f t="shared" si="23"/>
        <v>4.7130422956597279E-2</v>
      </c>
      <c r="CT19" s="225"/>
      <c r="CU19" s="230">
        <f t="shared" si="63"/>
        <v>615.43540686789379</v>
      </c>
      <c r="CV19" s="231">
        <f t="shared" si="24"/>
        <v>2.4803470426843388</v>
      </c>
      <c r="CW19" s="232"/>
      <c r="CX19" s="233"/>
      <c r="CZ19" s="45"/>
      <c r="DA19" s="234"/>
      <c r="DB19" s="235"/>
      <c r="DC19" s="230"/>
      <c r="DD19" s="236"/>
      <c r="DE19" s="235"/>
      <c r="DF19" s="230"/>
      <c r="DG19" s="236"/>
    </row>
    <row r="20" spans="1:112" ht="18" customHeight="1">
      <c r="A20" s="45" t="s">
        <v>40</v>
      </c>
      <c r="B20" s="213">
        <v>27</v>
      </c>
      <c r="C20" s="214">
        <f t="shared" si="25"/>
        <v>1.1910118307175185E-4</v>
      </c>
      <c r="D20" s="215">
        <v>10142</v>
      </c>
      <c r="E20" s="216">
        <f t="shared" si="0"/>
        <v>1.5778335390283552E-3</v>
      </c>
      <c r="F20" s="217">
        <v>0</v>
      </c>
      <c r="G20" s="218">
        <f t="shared" si="26"/>
        <v>0</v>
      </c>
      <c r="H20" s="56">
        <f t="shared" si="27"/>
        <v>0</v>
      </c>
      <c r="I20" s="55">
        <f t="shared" si="1"/>
        <v>0</v>
      </c>
      <c r="J20" s="57">
        <f t="shared" si="2"/>
        <v>0</v>
      </c>
      <c r="K20" s="219">
        <f t="shared" si="3"/>
        <v>0</v>
      </c>
      <c r="L20" s="220"/>
      <c r="M20" s="221">
        <f t="shared" si="28"/>
        <v>0.17924728052298652</v>
      </c>
      <c r="N20" s="218">
        <f t="shared" si="29"/>
        <v>6.8941261739610205E-4</v>
      </c>
      <c r="O20" s="222">
        <f t="shared" si="30"/>
        <v>6.9189450281872789E-2</v>
      </c>
      <c r="P20" s="223">
        <v>0</v>
      </c>
      <c r="Q20" s="219">
        <f t="shared" si="31"/>
        <v>6.9189450281872789E-2</v>
      </c>
      <c r="R20" s="219">
        <f t="shared" si="4"/>
        <v>2.6611327031489536E-4</v>
      </c>
      <c r="S20" s="220"/>
      <c r="T20" s="45" t="s">
        <v>40</v>
      </c>
      <c r="U20" s="97">
        <f t="shared" si="32"/>
        <v>3.0013498134081464E-2</v>
      </c>
      <c r="V20" s="218">
        <f t="shared" si="33"/>
        <v>1.1543653128492871E-4</v>
      </c>
      <c r="W20" s="55">
        <f t="shared" si="5"/>
        <v>3.4905698329936743E-2</v>
      </c>
      <c r="X20" s="55">
        <f t="shared" si="34"/>
        <v>2.1819336738744938E-2</v>
      </c>
      <c r="Y20" s="57">
        <f t="shared" si="6"/>
        <v>1.3086361591191805E-2</v>
      </c>
      <c r="Z20" s="70">
        <f t="shared" si="7"/>
        <v>5.0332159966122324E-5</v>
      </c>
      <c r="AA20" s="224"/>
      <c r="AB20" s="56">
        <f>SUM(C20*305)</f>
        <v>3.6325860836884313E-2</v>
      </c>
      <c r="AC20" s="218">
        <f t="shared" si="35"/>
        <v>1.3971484937263197E-4</v>
      </c>
      <c r="AD20" s="63">
        <f t="shared" si="36"/>
        <v>3.5236085011777782E-3</v>
      </c>
      <c r="AE20" s="64">
        <f t="shared" si="37"/>
        <v>1.3552340389145301E-5</v>
      </c>
      <c r="AF20" s="225"/>
      <c r="AG20" s="226">
        <v>0</v>
      </c>
      <c r="AH20" s="218">
        <f t="shared" si="38"/>
        <v>0</v>
      </c>
      <c r="AI20" s="56">
        <f t="shared" si="39"/>
        <v>0</v>
      </c>
      <c r="AJ20" s="56">
        <f t="shared" si="40"/>
        <v>0</v>
      </c>
      <c r="AK20" s="57">
        <f t="shared" si="8"/>
        <v>0</v>
      </c>
      <c r="AL20" s="58">
        <f t="shared" si="9"/>
        <v>0</v>
      </c>
      <c r="AM20" s="225"/>
      <c r="AN20" s="45" t="s">
        <v>40</v>
      </c>
      <c r="AO20" s="227">
        <v>0</v>
      </c>
      <c r="AP20" s="63">
        <f t="shared" si="10"/>
        <v>0</v>
      </c>
      <c r="AQ20" s="64">
        <f t="shared" si="41"/>
        <v>0</v>
      </c>
      <c r="AR20" s="225"/>
      <c r="AS20" s="226">
        <v>0</v>
      </c>
      <c r="AT20" s="57">
        <f t="shared" si="42"/>
        <v>0</v>
      </c>
      <c r="AU20" s="58">
        <f t="shared" si="43"/>
        <v>0</v>
      </c>
      <c r="AV20" s="225"/>
      <c r="AW20" s="56">
        <v>0</v>
      </c>
      <c r="AX20" s="228">
        <f t="shared" si="44"/>
        <v>0</v>
      </c>
      <c r="AY20" s="55">
        <f t="shared" si="45"/>
        <v>0</v>
      </c>
      <c r="AZ20" s="55"/>
      <c r="BA20" s="57">
        <f t="shared" si="11"/>
        <v>0</v>
      </c>
      <c r="BB20" s="58">
        <f t="shared" si="12"/>
        <v>0</v>
      </c>
      <c r="BC20" s="225"/>
      <c r="BD20" s="45" t="s">
        <v>40</v>
      </c>
      <c r="BE20" s="51">
        <v>0</v>
      </c>
      <c r="BF20" s="55">
        <f t="shared" si="46"/>
        <v>0</v>
      </c>
      <c r="BG20" s="229">
        <v>0</v>
      </c>
      <c r="BH20" s="57">
        <f t="shared" si="13"/>
        <v>0</v>
      </c>
      <c r="BI20" s="58">
        <f t="shared" si="14"/>
        <v>0</v>
      </c>
      <c r="BJ20" s="211"/>
      <c r="BK20" s="226">
        <v>0</v>
      </c>
      <c r="BL20" s="228">
        <f t="shared" si="47"/>
        <v>0</v>
      </c>
      <c r="BM20" s="55">
        <f t="shared" si="15"/>
        <v>0</v>
      </c>
      <c r="BN20" s="55">
        <f t="shared" si="48"/>
        <v>0</v>
      </c>
      <c r="BO20" s="57">
        <f t="shared" si="16"/>
        <v>0</v>
      </c>
      <c r="BP20" s="58">
        <f t="shared" si="17"/>
        <v>0</v>
      </c>
      <c r="BQ20" s="225"/>
      <c r="BR20" s="226">
        <v>9</v>
      </c>
      <c r="BS20" s="228">
        <f t="shared" si="49"/>
        <v>3.4615384615384617E-2</v>
      </c>
      <c r="BT20" s="56">
        <f t="shared" si="50"/>
        <v>0.19350000000000001</v>
      </c>
      <c r="BU20" s="55">
        <f t="shared" si="51"/>
        <v>6.1172812083518435E-2</v>
      </c>
      <c r="BV20" s="57">
        <f t="shared" si="52"/>
        <v>0.13232718791648157</v>
      </c>
      <c r="BW20" s="58">
        <f t="shared" si="18"/>
        <v>5.0895072275569837E-4</v>
      </c>
      <c r="BX20" s="225"/>
      <c r="BY20" s="45" t="s">
        <v>40</v>
      </c>
      <c r="BZ20" s="226">
        <v>0</v>
      </c>
      <c r="CA20" s="228">
        <f t="shared" si="53"/>
        <v>0</v>
      </c>
      <c r="CB20" s="55">
        <f t="shared" si="54"/>
        <v>0</v>
      </c>
      <c r="CC20" s="56">
        <f t="shared" si="55"/>
        <v>0</v>
      </c>
      <c r="CD20" s="57">
        <f t="shared" si="19"/>
        <v>0</v>
      </c>
      <c r="CE20" s="64">
        <f t="shared" si="20"/>
        <v>0</v>
      </c>
      <c r="CF20" s="225"/>
      <c r="CG20" s="233">
        <v>0</v>
      </c>
      <c r="CH20" s="66">
        <f t="shared" si="56"/>
        <v>0</v>
      </c>
      <c r="CI20" s="55">
        <f t="shared" si="57"/>
        <v>0</v>
      </c>
      <c r="CJ20" s="55">
        <f t="shared" si="58"/>
        <v>0</v>
      </c>
      <c r="CK20" s="57">
        <f t="shared" si="59"/>
        <v>0</v>
      </c>
      <c r="CL20" s="58">
        <f t="shared" si="21"/>
        <v>0</v>
      </c>
      <c r="CM20" s="225"/>
      <c r="CN20" s="226">
        <v>0</v>
      </c>
      <c r="CO20" s="66">
        <f t="shared" si="60"/>
        <v>0</v>
      </c>
      <c r="CP20" s="55">
        <f t="shared" si="61"/>
        <v>0</v>
      </c>
      <c r="CQ20" s="228">
        <f t="shared" si="62"/>
        <v>0</v>
      </c>
      <c r="CR20" s="57">
        <f t="shared" si="22"/>
        <v>0</v>
      </c>
      <c r="CS20" s="58">
        <f t="shared" si="23"/>
        <v>0</v>
      </c>
      <c r="CT20" s="225"/>
      <c r="CU20" s="230">
        <f t="shared" si="63"/>
        <v>0.21812660829072394</v>
      </c>
      <c r="CV20" s="231">
        <f t="shared" si="24"/>
        <v>8.3894849342586132E-4</v>
      </c>
      <c r="CW20" s="232"/>
      <c r="CX20" s="233"/>
      <c r="CZ20" s="45"/>
      <c r="DA20" s="234"/>
      <c r="DB20" s="235"/>
      <c r="DC20" s="230"/>
      <c r="DD20" s="236"/>
      <c r="DE20" s="235"/>
      <c r="DF20" s="230"/>
      <c r="DG20" s="236"/>
    </row>
    <row r="21" spans="1:112" ht="18" customHeight="1">
      <c r="A21" s="45" t="s">
        <v>41</v>
      </c>
      <c r="B21" s="213">
        <v>19658</v>
      </c>
      <c r="C21" s="214">
        <f t="shared" si="25"/>
        <v>8.6714483586092517E-2</v>
      </c>
      <c r="D21" s="215">
        <v>675436</v>
      </c>
      <c r="E21" s="216">
        <f t="shared" si="0"/>
        <v>0.10508041552624296</v>
      </c>
      <c r="F21" s="217">
        <v>132</v>
      </c>
      <c r="G21" s="218">
        <f t="shared" si="26"/>
        <v>0.50769230769230766</v>
      </c>
      <c r="H21" s="56">
        <f t="shared" si="27"/>
        <v>5.3968586387434554</v>
      </c>
      <c r="I21" s="55">
        <f t="shared" si="1"/>
        <v>16.103999999999999</v>
      </c>
      <c r="J21" s="57">
        <f t="shared" si="2"/>
        <v>10.707141361256543</v>
      </c>
      <c r="K21" s="219">
        <f t="shared" si="3"/>
        <v>4.1181312927909781E-2</v>
      </c>
      <c r="L21" s="220"/>
      <c r="M21" s="221">
        <f t="shared" si="28"/>
        <v>130.50529779706923</v>
      </c>
      <c r="N21" s="218">
        <f t="shared" si="29"/>
        <v>0.50194345306565091</v>
      </c>
      <c r="O21" s="222">
        <f t="shared" si="30"/>
        <v>50.37504494966872</v>
      </c>
      <c r="P21" s="223">
        <v>0</v>
      </c>
      <c r="Q21" s="219">
        <f t="shared" si="31"/>
        <v>50.37504494966872</v>
      </c>
      <c r="R21" s="219">
        <f t="shared" si="4"/>
        <v>0.19375017288334123</v>
      </c>
      <c r="S21" s="220"/>
      <c r="T21" s="45" t="s">
        <v>41</v>
      </c>
      <c r="U21" s="97">
        <f t="shared" si="32"/>
        <v>21.852049863695314</v>
      </c>
      <c r="V21" s="218">
        <f t="shared" si="33"/>
        <v>8.4046345629597355E-2</v>
      </c>
      <c r="W21" s="55">
        <f t="shared" si="5"/>
        <v>25.413933991477649</v>
      </c>
      <c r="X21" s="55">
        <f t="shared" si="34"/>
        <v>15.886093392972148</v>
      </c>
      <c r="Y21" s="57">
        <f t="shared" si="6"/>
        <v>9.5278405985055006</v>
      </c>
      <c r="Z21" s="70">
        <f t="shared" si="7"/>
        <v>3.6645540763482698E-2</v>
      </c>
      <c r="AA21" s="224"/>
      <c r="AB21" s="56">
        <v>138</v>
      </c>
      <c r="AC21" s="218">
        <f t="shared" si="35"/>
        <v>0.53076923076923077</v>
      </c>
      <c r="AD21" s="63">
        <f t="shared" si="36"/>
        <v>13.385999999999999</v>
      </c>
      <c r="AE21" s="64">
        <f t="shared" si="37"/>
        <v>5.1484615384615379E-2</v>
      </c>
      <c r="AF21" s="225"/>
      <c r="AG21" s="226">
        <v>435</v>
      </c>
      <c r="AH21" s="218">
        <f t="shared" si="38"/>
        <v>1.6730769230769231</v>
      </c>
      <c r="AI21" s="56">
        <f t="shared" si="39"/>
        <v>11.192550000000001</v>
      </c>
      <c r="AJ21" s="56">
        <f t="shared" si="40"/>
        <v>1.287662543609261</v>
      </c>
      <c r="AK21" s="57">
        <f t="shared" si="8"/>
        <v>9.904887456390739</v>
      </c>
      <c r="AL21" s="58">
        <f t="shared" si="9"/>
        <v>3.8095720986118228E-2</v>
      </c>
      <c r="AM21" s="225"/>
      <c r="AN21" s="45" t="s">
        <v>41</v>
      </c>
      <c r="AO21" s="227">
        <v>0</v>
      </c>
      <c r="AP21" s="63">
        <f t="shared" si="10"/>
        <v>0</v>
      </c>
      <c r="AQ21" s="64">
        <f t="shared" si="41"/>
        <v>0</v>
      </c>
      <c r="AR21" s="225"/>
      <c r="AS21" s="226">
        <v>7.1</v>
      </c>
      <c r="AT21" s="57">
        <f t="shared" si="42"/>
        <v>4.6079000000000002E-2</v>
      </c>
      <c r="AU21" s="58">
        <f t="shared" si="43"/>
        <v>1.7722692307692309E-4</v>
      </c>
      <c r="AV21" s="225"/>
      <c r="AW21" s="56">
        <v>5.74</v>
      </c>
      <c r="AX21" s="228">
        <f t="shared" si="44"/>
        <v>2.2076923076923077E-2</v>
      </c>
      <c r="AY21" s="55">
        <f t="shared" si="45"/>
        <v>0.56825999999999999</v>
      </c>
      <c r="AZ21" s="55"/>
      <c r="BA21" s="57">
        <f t="shared" si="11"/>
        <v>0.56825999999999999</v>
      </c>
      <c r="BB21" s="58">
        <f t="shared" si="12"/>
        <v>2.1856153846153844E-3</v>
      </c>
      <c r="BC21" s="225"/>
      <c r="BD21" s="45" t="s">
        <v>41</v>
      </c>
      <c r="BE21" s="51">
        <v>0</v>
      </c>
      <c r="BF21" s="55">
        <f t="shared" si="46"/>
        <v>0</v>
      </c>
      <c r="BG21" s="229">
        <v>0</v>
      </c>
      <c r="BH21" s="57">
        <f t="shared" si="13"/>
        <v>0</v>
      </c>
      <c r="BI21" s="58">
        <f t="shared" si="14"/>
        <v>0</v>
      </c>
      <c r="BJ21" s="211"/>
      <c r="BK21" s="226">
        <v>187</v>
      </c>
      <c r="BL21" s="228">
        <f t="shared" si="47"/>
        <v>0.71923076923076923</v>
      </c>
      <c r="BM21" s="55">
        <f t="shared" si="15"/>
        <v>36.474350000000001</v>
      </c>
      <c r="BN21" s="55">
        <f t="shared" si="48"/>
        <v>11.175298804780876</v>
      </c>
      <c r="BO21" s="57">
        <f t="shared" si="16"/>
        <v>25.299051195219125</v>
      </c>
      <c r="BP21" s="58">
        <f t="shared" si="17"/>
        <v>9.73040430585351E-2</v>
      </c>
      <c r="BQ21" s="225"/>
      <c r="BR21" s="226">
        <v>40</v>
      </c>
      <c r="BS21" s="228">
        <f t="shared" si="49"/>
        <v>0.15384615384615385</v>
      </c>
      <c r="BT21" s="56">
        <f t="shared" si="50"/>
        <v>0.86</v>
      </c>
      <c r="BU21" s="55">
        <f t="shared" si="51"/>
        <v>0.27187916481563751</v>
      </c>
      <c r="BV21" s="57">
        <f t="shared" si="52"/>
        <v>0.58812083518436253</v>
      </c>
      <c r="BW21" s="58">
        <f t="shared" si="18"/>
        <v>2.2620032122475484E-3</v>
      </c>
      <c r="BX21" s="225"/>
      <c r="BY21" s="45" t="s">
        <v>41</v>
      </c>
      <c r="BZ21" s="226">
        <v>162</v>
      </c>
      <c r="CA21" s="228">
        <f t="shared" si="53"/>
        <v>0.62307692307692308</v>
      </c>
      <c r="CB21" s="55">
        <f t="shared" si="54"/>
        <v>2.5855199999999998</v>
      </c>
      <c r="CC21" s="56">
        <f t="shared" si="55"/>
        <v>1.3649546827794563</v>
      </c>
      <c r="CD21" s="57">
        <f t="shared" si="19"/>
        <v>1.2205653172205435</v>
      </c>
      <c r="CE21" s="64">
        <f t="shared" si="20"/>
        <v>4.6944819893097829E-3</v>
      </c>
      <c r="CF21" s="225"/>
      <c r="CG21" s="233">
        <v>2161</v>
      </c>
      <c r="CH21" s="66">
        <f t="shared" si="56"/>
        <v>8.3115384615384613</v>
      </c>
      <c r="CI21" s="55">
        <f t="shared" si="57"/>
        <v>99.860890500000011</v>
      </c>
      <c r="CJ21" s="55">
        <f t="shared" si="58"/>
        <v>12.264330474201147</v>
      </c>
      <c r="CK21" s="57">
        <f t="shared" si="59"/>
        <v>87.596560025798865</v>
      </c>
      <c r="CL21" s="58">
        <f t="shared" si="21"/>
        <v>0.38408034807692309</v>
      </c>
      <c r="CM21" s="225"/>
      <c r="CN21" s="226">
        <v>171</v>
      </c>
      <c r="CO21" s="66">
        <f t="shared" si="60"/>
        <v>0.65769230769230769</v>
      </c>
      <c r="CP21" s="55">
        <f t="shared" si="61"/>
        <v>52.102759499999998</v>
      </c>
      <c r="CQ21" s="228">
        <f t="shared" si="62"/>
        <v>16.587189929655683</v>
      </c>
      <c r="CR21" s="57">
        <f t="shared" si="22"/>
        <v>35.515569570344312</v>
      </c>
      <c r="CS21" s="58">
        <f t="shared" si="23"/>
        <v>0.13659834450132427</v>
      </c>
      <c r="CT21" s="225"/>
      <c r="CU21" s="230">
        <f t="shared" si="63"/>
        <v>244.73512030958875</v>
      </c>
      <c r="CV21" s="231">
        <f t="shared" si="24"/>
        <v>0.98845942609149928</v>
      </c>
      <c r="CW21" s="232"/>
      <c r="CX21" s="233"/>
      <c r="CZ21" s="45"/>
      <c r="DA21" s="234"/>
      <c r="DB21" s="235"/>
      <c r="DC21" s="230"/>
      <c r="DD21" s="236"/>
      <c r="DE21" s="235"/>
      <c r="DF21" s="230"/>
      <c r="DG21" s="236"/>
    </row>
    <row r="22" spans="1:112" ht="18" customHeight="1">
      <c r="A22" s="45" t="s">
        <v>42</v>
      </c>
      <c r="B22" s="213">
        <v>10108</v>
      </c>
      <c r="C22" s="214">
        <f t="shared" si="25"/>
        <v>4.4587954018121025E-2</v>
      </c>
      <c r="D22" s="215">
        <v>497579</v>
      </c>
      <c r="E22" s="216">
        <f t="shared" si="0"/>
        <v>7.7410454990750333E-2</v>
      </c>
      <c r="F22" s="217">
        <v>53</v>
      </c>
      <c r="G22" s="218">
        <f t="shared" si="26"/>
        <v>0.20384615384615384</v>
      </c>
      <c r="H22" s="56">
        <f t="shared" si="27"/>
        <v>2.1669205140409331</v>
      </c>
      <c r="I22" s="55">
        <f t="shared" si="1"/>
        <v>6.4660000000000002</v>
      </c>
      <c r="J22" s="57">
        <f t="shared" si="2"/>
        <v>4.2990794859590675</v>
      </c>
      <c r="K22" s="219">
        <f t="shared" si="3"/>
        <v>1.6534921099842566E-2</v>
      </c>
      <c r="L22" s="220"/>
      <c r="M22" s="221">
        <f t="shared" si="28"/>
        <v>67.104870797272142</v>
      </c>
      <c r="N22" s="218">
        <f t="shared" si="29"/>
        <v>0.25809565691258518</v>
      </c>
      <c r="O22" s="222">
        <f t="shared" si="30"/>
        <v>25.902480127747047</v>
      </c>
      <c r="P22" s="223">
        <v>2.7</v>
      </c>
      <c r="Q22" s="219">
        <f t="shared" si="31"/>
        <v>23.202480127747048</v>
      </c>
      <c r="R22" s="219">
        <f t="shared" si="4"/>
        <v>8.9240308183642494E-2</v>
      </c>
      <c r="S22" s="220"/>
      <c r="T22" s="45" t="s">
        <v>42</v>
      </c>
      <c r="U22" s="97">
        <f t="shared" si="32"/>
        <v>11.236164412566499</v>
      </c>
      <c r="V22" s="218">
        <f t="shared" si="33"/>
        <v>4.3216016971409608E-2</v>
      </c>
      <c r="W22" s="55">
        <f t="shared" si="5"/>
        <v>13.067659211814838</v>
      </c>
      <c r="X22" s="55">
        <f t="shared" si="34"/>
        <v>8.168513176119772</v>
      </c>
      <c r="Y22" s="57">
        <v>0</v>
      </c>
      <c r="Z22" s="70">
        <f t="shared" si="7"/>
        <v>0</v>
      </c>
      <c r="AA22" s="224"/>
      <c r="AB22" s="56">
        <v>83</v>
      </c>
      <c r="AC22" s="218">
        <f t="shared" si="35"/>
        <v>0.31923076923076921</v>
      </c>
      <c r="AD22" s="63">
        <f t="shared" si="36"/>
        <v>8.0510000000000002</v>
      </c>
      <c r="AE22" s="64">
        <f t="shared" si="37"/>
        <v>3.0965384615384617E-2</v>
      </c>
      <c r="AF22" s="225"/>
      <c r="AG22" s="226">
        <v>544</v>
      </c>
      <c r="AH22" s="218">
        <f t="shared" si="38"/>
        <v>2.0923076923076924</v>
      </c>
      <c r="AI22" s="56">
        <f t="shared" si="39"/>
        <v>13.997120000000001</v>
      </c>
      <c r="AJ22" s="56">
        <f t="shared" si="40"/>
        <v>1.6103182154561793</v>
      </c>
      <c r="AK22" s="57">
        <f t="shared" si="8"/>
        <v>12.386801784543822</v>
      </c>
      <c r="AL22" s="58">
        <f t="shared" si="9"/>
        <v>4.7641545325168545E-2</v>
      </c>
      <c r="AM22" s="225"/>
      <c r="AN22" s="45" t="s">
        <v>42</v>
      </c>
      <c r="AO22" s="227">
        <v>0</v>
      </c>
      <c r="AP22" s="63">
        <f t="shared" si="10"/>
        <v>0</v>
      </c>
      <c r="AQ22" s="64">
        <f t="shared" si="41"/>
        <v>0</v>
      </c>
      <c r="AR22" s="225"/>
      <c r="AS22" s="226">
        <v>0</v>
      </c>
      <c r="AT22" s="57">
        <f t="shared" si="42"/>
        <v>0</v>
      </c>
      <c r="AU22" s="58">
        <f t="shared" si="43"/>
        <v>0</v>
      </c>
      <c r="AV22" s="225"/>
      <c r="AW22" s="56">
        <v>153.80000000000001</v>
      </c>
      <c r="AX22" s="228">
        <f t="shared" si="44"/>
        <v>0.59153846153846157</v>
      </c>
      <c r="AY22" s="55">
        <f t="shared" si="45"/>
        <v>15.2262</v>
      </c>
      <c r="AZ22" s="55">
        <v>6.14</v>
      </c>
      <c r="BA22" s="57">
        <f t="shared" si="11"/>
        <v>9.0862000000000016</v>
      </c>
      <c r="BB22" s="58">
        <f t="shared" si="12"/>
        <v>3.4946923076923084E-2</v>
      </c>
      <c r="BC22" s="225"/>
      <c r="BD22" s="45" t="s">
        <v>42</v>
      </c>
      <c r="BE22" s="51">
        <v>0</v>
      </c>
      <c r="BF22" s="55">
        <f t="shared" si="46"/>
        <v>0</v>
      </c>
      <c r="BG22" s="229">
        <v>0</v>
      </c>
      <c r="BH22" s="57">
        <f t="shared" si="13"/>
        <v>0</v>
      </c>
      <c r="BI22" s="58">
        <f t="shared" si="14"/>
        <v>0</v>
      </c>
      <c r="BJ22" s="211"/>
      <c r="BK22" s="226">
        <v>500</v>
      </c>
      <c r="BL22" s="228">
        <f t="shared" si="47"/>
        <v>1.9230769230769231</v>
      </c>
      <c r="BM22" s="55">
        <f t="shared" si="15"/>
        <v>97.525000000000006</v>
      </c>
      <c r="BN22" s="55">
        <f t="shared" si="48"/>
        <v>29.880478087649401</v>
      </c>
      <c r="BO22" s="57">
        <f t="shared" si="16"/>
        <v>67.644521912350598</v>
      </c>
      <c r="BP22" s="58">
        <f t="shared" si="17"/>
        <v>0.26017123812442539</v>
      </c>
      <c r="BQ22" s="225"/>
      <c r="BR22" s="226">
        <v>67</v>
      </c>
      <c r="BS22" s="228">
        <f t="shared" si="49"/>
        <v>0.25769230769230766</v>
      </c>
      <c r="BT22" s="56">
        <f t="shared" si="50"/>
        <v>1.4404999999999999</v>
      </c>
      <c r="BU22" s="55">
        <f t="shared" si="51"/>
        <v>0.45539760106619281</v>
      </c>
      <c r="BV22" s="57">
        <f t="shared" si="52"/>
        <v>0.98510239893380702</v>
      </c>
      <c r="BW22" s="58">
        <f t="shared" si="18"/>
        <v>3.7888553805146422E-3</v>
      </c>
      <c r="BX22" s="225"/>
      <c r="BY22" s="45" t="s">
        <v>42</v>
      </c>
      <c r="BZ22" s="226">
        <v>60</v>
      </c>
      <c r="CA22" s="228">
        <f t="shared" si="53"/>
        <v>0.23076923076923078</v>
      </c>
      <c r="CB22" s="55">
        <f t="shared" si="54"/>
        <v>0.95760000000000001</v>
      </c>
      <c r="CC22" s="56">
        <f t="shared" si="55"/>
        <v>0.50553877139979864</v>
      </c>
      <c r="CD22" s="57">
        <f t="shared" si="19"/>
        <v>0.45206122860020137</v>
      </c>
      <c r="CE22" s="64">
        <f t="shared" si="20"/>
        <v>1.7386970330776977E-3</v>
      </c>
      <c r="CF22" s="225"/>
      <c r="CG22" s="233">
        <v>757</v>
      </c>
      <c r="CH22" s="66">
        <f t="shared" si="56"/>
        <v>2.9115384615384614</v>
      </c>
      <c r="CI22" s="55">
        <f t="shared" si="57"/>
        <v>34.981348500000003</v>
      </c>
      <c r="CJ22" s="55">
        <f t="shared" si="58"/>
        <v>4.2962046131283049</v>
      </c>
      <c r="CK22" s="57">
        <f t="shared" si="59"/>
        <v>30.6851438868717</v>
      </c>
      <c r="CL22" s="58">
        <f t="shared" si="21"/>
        <v>0.13454364807692309</v>
      </c>
      <c r="CM22" s="225"/>
      <c r="CN22" s="226">
        <v>367</v>
      </c>
      <c r="CO22" s="66">
        <f t="shared" si="60"/>
        <v>1.4115384615384616</v>
      </c>
      <c r="CP22" s="55">
        <f t="shared" si="61"/>
        <v>111.82288150000001</v>
      </c>
      <c r="CQ22" s="228">
        <f t="shared" si="62"/>
        <v>35.59940762680489</v>
      </c>
      <c r="CR22" s="57">
        <f t="shared" si="22"/>
        <v>76.223473873195118</v>
      </c>
      <c r="CS22" s="58">
        <f t="shared" si="23"/>
        <v>0.2931672072045966</v>
      </c>
      <c r="CT22" s="225"/>
      <c r="CU22" s="230">
        <f t="shared" si="63"/>
        <v>233.01586469820137</v>
      </c>
      <c r="CV22" s="231">
        <f t="shared" si="24"/>
        <v>0.91273872812049883</v>
      </c>
      <c r="CW22" s="232"/>
      <c r="CX22" s="233"/>
      <c r="CZ22" s="45"/>
      <c r="DA22" s="234"/>
      <c r="DB22" s="235"/>
      <c r="DC22" s="230"/>
      <c r="DD22" s="236"/>
      <c r="DE22" s="235"/>
      <c r="DF22" s="230"/>
      <c r="DG22" s="236"/>
    </row>
    <row r="23" spans="1:112" ht="18" customHeight="1">
      <c r="A23" s="45" t="s">
        <v>43</v>
      </c>
      <c r="B23" s="213">
        <v>9688</v>
      </c>
      <c r="C23" s="214">
        <f t="shared" si="25"/>
        <v>4.2735268948115995E-2</v>
      </c>
      <c r="D23" s="215">
        <v>730932</v>
      </c>
      <c r="E23" s="216">
        <f t="shared" si="0"/>
        <v>0.11371416134382505</v>
      </c>
      <c r="F23" s="217">
        <v>150</v>
      </c>
      <c r="G23" s="218">
        <f t="shared" si="26"/>
        <v>0.57692307692307687</v>
      </c>
      <c r="H23" s="56">
        <f t="shared" si="27"/>
        <v>6.132793907663018</v>
      </c>
      <c r="I23" s="55">
        <f t="shared" si="1"/>
        <v>18.3</v>
      </c>
      <c r="J23" s="57">
        <f t="shared" si="2"/>
        <v>12.167206092336983</v>
      </c>
      <c r="K23" s="219">
        <f t="shared" si="3"/>
        <v>4.6796946508988392E-2</v>
      </c>
      <c r="L23" s="220"/>
      <c r="M23" s="221">
        <f t="shared" si="28"/>
        <v>64.316579766914572</v>
      </c>
      <c r="N23" s="218">
        <f t="shared" si="29"/>
        <v>0.24737146064197912</v>
      </c>
      <c r="O23" s="222">
        <f t="shared" si="30"/>
        <v>24.826199790029026</v>
      </c>
      <c r="P23" s="223">
        <v>0</v>
      </c>
      <c r="Q23" s="219">
        <f t="shared" si="31"/>
        <v>24.826199790029026</v>
      </c>
      <c r="R23" s="219">
        <f t="shared" si="4"/>
        <v>9.5485383807803942E-2</v>
      </c>
      <c r="S23" s="220"/>
      <c r="T23" s="45" t="s">
        <v>43</v>
      </c>
      <c r="U23" s="97">
        <f t="shared" si="32"/>
        <v>10.76928777492523</v>
      </c>
      <c r="V23" s="218">
        <f t="shared" si="33"/>
        <v>4.1420337595866268E-2</v>
      </c>
      <c r="W23" s="55">
        <f t="shared" si="5"/>
        <v>12.524681682238043</v>
      </c>
      <c r="X23" s="55">
        <f t="shared" si="34"/>
        <v>7.8291012712948502</v>
      </c>
      <c r="Y23" s="57">
        <f>SUM(W23-X23)</f>
        <v>4.6955804109431929</v>
      </c>
      <c r="Z23" s="70">
        <f t="shared" si="7"/>
        <v>1.805992465747382E-2</v>
      </c>
      <c r="AA23" s="224"/>
      <c r="AB23" s="56">
        <v>46</v>
      </c>
      <c r="AC23" s="218">
        <f t="shared" si="35"/>
        <v>0.17692307692307693</v>
      </c>
      <c r="AD23" s="63">
        <f t="shared" si="36"/>
        <v>4.4619999999999997</v>
      </c>
      <c r="AE23" s="64">
        <f t="shared" si="37"/>
        <v>1.7161538461538461E-2</v>
      </c>
      <c r="AF23" s="225"/>
      <c r="AG23" s="226">
        <v>0</v>
      </c>
      <c r="AH23" s="218">
        <f t="shared" si="38"/>
        <v>0</v>
      </c>
      <c r="AI23" s="56">
        <f t="shared" si="39"/>
        <v>0</v>
      </c>
      <c r="AJ23" s="56">
        <f t="shared" si="40"/>
        <v>0</v>
      </c>
      <c r="AK23" s="57">
        <f t="shared" si="8"/>
        <v>0</v>
      </c>
      <c r="AL23" s="58">
        <f t="shared" si="9"/>
        <v>0</v>
      </c>
      <c r="AM23" s="225"/>
      <c r="AN23" s="45" t="s">
        <v>43</v>
      </c>
      <c r="AO23" s="227">
        <v>0</v>
      </c>
      <c r="AP23" s="63">
        <f t="shared" si="10"/>
        <v>0</v>
      </c>
      <c r="AQ23" s="64">
        <f t="shared" si="41"/>
        <v>0</v>
      </c>
      <c r="AR23" s="225"/>
      <c r="AS23" s="226">
        <v>0</v>
      </c>
      <c r="AT23" s="57">
        <f t="shared" si="42"/>
        <v>0</v>
      </c>
      <c r="AU23" s="58">
        <f t="shared" si="43"/>
        <v>0</v>
      </c>
      <c r="AV23" s="225"/>
      <c r="AW23" s="56">
        <v>10.5</v>
      </c>
      <c r="AX23" s="228">
        <f t="shared" si="44"/>
        <v>4.0384615384615387E-2</v>
      </c>
      <c r="AY23" s="55">
        <f t="shared" si="45"/>
        <v>1.0395000000000001</v>
      </c>
      <c r="AZ23" s="55">
        <v>1</v>
      </c>
      <c r="BA23" s="57">
        <f t="shared" si="11"/>
        <v>3.9500000000000091E-2</v>
      </c>
      <c r="BB23" s="58">
        <f t="shared" si="12"/>
        <v>1.5192307692307727E-4</v>
      </c>
      <c r="BC23" s="225"/>
      <c r="BD23" s="45" t="s">
        <v>43</v>
      </c>
      <c r="BE23" s="51">
        <v>0</v>
      </c>
      <c r="BF23" s="55">
        <f t="shared" si="46"/>
        <v>0</v>
      </c>
      <c r="BG23" s="229">
        <v>0</v>
      </c>
      <c r="BH23" s="57">
        <v>0</v>
      </c>
      <c r="BI23" s="58">
        <f t="shared" si="14"/>
        <v>0</v>
      </c>
      <c r="BJ23" s="211"/>
      <c r="BK23" s="226">
        <v>10</v>
      </c>
      <c r="BL23" s="228">
        <f t="shared" si="47"/>
        <v>3.8461538461538464E-2</v>
      </c>
      <c r="BM23" s="55">
        <f t="shared" si="15"/>
        <v>1.9504999999999999</v>
      </c>
      <c r="BN23" s="55">
        <f t="shared" si="48"/>
        <v>0.59760956175298807</v>
      </c>
      <c r="BO23" s="57">
        <f t="shared" si="16"/>
        <v>1.3528904382470119</v>
      </c>
      <c r="BP23" s="58">
        <f t="shared" si="17"/>
        <v>5.2034247624885071E-3</v>
      </c>
      <c r="BQ23" s="225"/>
      <c r="BR23" s="226">
        <v>123</v>
      </c>
      <c r="BS23" s="228">
        <f t="shared" si="49"/>
        <v>0.47307692307692306</v>
      </c>
      <c r="BT23" s="56">
        <f t="shared" si="50"/>
        <v>2.6444999999999999</v>
      </c>
      <c r="BU23" s="55">
        <f t="shared" si="51"/>
        <v>0.83602843180808539</v>
      </c>
      <c r="BV23" s="57">
        <f t="shared" si="52"/>
        <v>1.8084715681919143</v>
      </c>
      <c r="BW23" s="58">
        <f t="shared" si="18"/>
        <v>6.9556598776612088E-3</v>
      </c>
      <c r="BX23" s="225"/>
      <c r="BY23" s="45" t="s">
        <v>43</v>
      </c>
      <c r="BZ23" s="226">
        <v>6</v>
      </c>
      <c r="CA23" s="228">
        <f t="shared" si="53"/>
        <v>2.3076923076923078E-2</v>
      </c>
      <c r="CB23" s="55">
        <f t="shared" si="54"/>
        <v>9.5760000000000012E-2</v>
      </c>
      <c r="CC23" s="56">
        <f t="shared" si="55"/>
        <v>5.0553877139979865E-2</v>
      </c>
      <c r="CD23" s="57">
        <f t="shared" si="19"/>
        <v>4.5206122860020147E-2</v>
      </c>
      <c r="CE23" s="64">
        <f t="shared" si="20"/>
        <v>1.738697033077698E-4</v>
      </c>
      <c r="CF23" s="225"/>
      <c r="CG23" s="233">
        <v>604</v>
      </c>
      <c r="CH23" s="66">
        <f t="shared" si="56"/>
        <v>2.3230769230769233</v>
      </c>
      <c r="CI23" s="55">
        <f t="shared" si="57"/>
        <v>27.911142000000005</v>
      </c>
      <c r="CJ23" s="55">
        <f t="shared" si="58"/>
        <v>3.4278832051908807</v>
      </c>
      <c r="CK23" s="57">
        <f t="shared" si="59"/>
        <v>24.483258794809124</v>
      </c>
      <c r="CL23" s="58">
        <f t="shared" si="21"/>
        <v>0.10735054615384618</v>
      </c>
      <c r="CM23" s="225"/>
      <c r="CN23" s="226">
        <v>0</v>
      </c>
      <c r="CO23" s="66">
        <f t="shared" si="60"/>
        <v>0</v>
      </c>
      <c r="CP23" s="55">
        <f t="shared" si="61"/>
        <v>0</v>
      </c>
      <c r="CQ23" s="228">
        <f t="shared" si="62"/>
        <v>0</v>
      </c>
      <c r="CR23" s="57">
        <f t="shared" si="22"/>
        <v>0</v>
      </c>
      <c r="CS23" s="58">
        <f t="shared" si="23"/>
        <v>0</v>
      </c>
      <c r="CT23" s="225"/>
      <c r="CU23" s="230">
        <f t="shared" si="63"/>
        <v>73.880313217417267</v>
      </c>
      <c r="CV23" s="231">
        <f t="shared" si="24"/>
        <v>0.2973392170100313</v>
      </c>
      <c r="CW23" s="232"/>
      <c r="CX23" s="233"/>
      <c r="CZ23" s="45"/>
      <c r="DA23" s="234"/>
      <c r="DB23" s="235"/>
      <c r="DC23" s="230"/>
      <c r="DD23" s="236"/>
      <c r="DE23" s="235"/>
      <c r="DF23" s="230"/>
      <c r="DG23" s="236"/>
    </row>
    <row r="24" spans="1:112" ht="18" customHeight="1">
      <c r="A24" s="45" t="s">
        <v>117</v>
      </c>
      <c r="B24" s="213">
        <v>31279</v>
      </c>
      <c r="C24" s="214">
        <f t="shared" si="25"/>
        <v>0.13797651501116023</v>
      </c>
      <c r="D24" s="215">
        <v>801227</v>
      </c>
      <c r="E24" s="216">
        <f t="shared" si="0"/>
        <v>0.12465024975104239</v>
      </c>
      <c r="F24" s="217">
        <v>406</v>
      </c>
      <c r="G24" s="218">
        <f t="shared" si="26"/>
        <v>1.5615384615384615</v>
      </c>
      <c r="H24" s="56">
        <f t="shared" si="27"/>
        <v>16.599428843407903</v>
      </c>
      <c r="I24" s="55">
        <f t="shared" si="1"/>
        <v>49.531999999999996</v>
      </c>
      <c r="J24" s="57">
        <f t="shared" si="2"/>
        <v>32.93257115659209</v>
      </c>
      <c r="K24" s="219">
        <f t="shared" si="3"/>
        <v>0.12666373521766189</v>
      </c>
      <c r="L24" s="220"/>
      <c r="M24" s="221">
        <f t="shared" si="28"/>
        <v>207.65465509179614</v>
      </c>
      <c r="N24" s="218">
        <f t="shared" si="29"/>
        <v>0.79867175035306204</v>
      </c>
      <c r="O24" s="222">
        <f t="shared" si="30"/>
        <v>80.154696865433323</v>
      </c>
      <c r="P24" s="223">
        <v>6.3</v>
      </c>
      <c r="Q24" s="219">
        <f t="shared" si="31"/>
        <v>73.854696865433326</v>
      </c>
      <c r="R24" s="219">
        <f t="shared" si="4"/>
        <v>0.28405652640551277</v>
      </c>
      <c r="S24" s="220"/>
      <c r="T24" s="45" t="s">
        <v>117</v>
      </c>
      <c r="U24" s="97">
        <f t="shared" si="32"/>
        <v>34.770081782812376</v>
      </c>
      <c r="V24" s="218">
        <f t="shared" si="33"/>
        <v>0.13373108378004761</v>
      </c>
      <c r="W24" s="55">
        <f t="shared" si="5"/>
        <v>40.43760511341079</v>
      </c>
      <c r="X24" s="55">
        <f t="shared" si="34"/>
        <v>25.277297550044555</v>
      </c>
      <c r="Y24" s="57">
        <f>SUM(W24-X24)</f>
        <v>15.160307563366235</v>
      </c>
      <c r="Z24" s="70">
        <f t="shared" si="7"/>
        <v>5.8308875243716286E-2</v>
      </c>
      <c r="AA24" s="224"/>
      <c r="AB24" s="56">
        <v>175</v>
      </c>
      <c r="AC24" s="218">
        <f t="shared" si="35"/>
        <v>0.67307692307692313</v>
      </c>
      <c r="AD24" s="63">
        <f t="shared" si="36"/>
        <v>16.975000000000001</v>
      </c>
      <c r="AE24" s="64">
        <f t="shared" si="37"/>
        <v>6.5288461538461545E-2</v>
      </c>
      <c r="AF24" s="225"/>
      <c r="AG24" s="226">
        <v>1148</v>
      </c>
      <c r="AH24" s="218">
        <f t="shared" si="38"/>
        <v>4.4153846153846157</v>
      </c>
      <c r="AI24" s="56">
        <f t="shared" si="39"/>
        <v>29.538040000000002</v>
      </c>
      <c r="AJ24" s="56">
        <f t="shared" si="40"/>
        <v>3.3982450576170842</v>
      </c>
      <c r="AK24" s="57">
        <f t="shared" si="8"/>
        <v>26.139794942382917</v>
      </c>
      <c r="AL24" s="58">
        <f t="shared" si="9"/>
        <v>0.10053767285531891</v>
      </c>
      <c r="AM24" s="225"/>
      <c r="AN24" s="45" t="s">
        <v>117</v>
      </c>
      <c r="AO24" s="227">
        <v>6.3</v>
      </c>
      <c r="AP24" s="63">
        <f t="shared" si="10"/>
        <v>0.65781450000000008</v>
      </c>
      <c r="AQ24" s="64">
        <f t="shared" si="41"/>
        <v>2.5300557692307696E-3</v>
      </c>
      <c r="AR24" s="225"/>
      <c r="AS24" s="226">
        <v>42.5</v>
      </c>
      <c r="AT24" s="57">
        <f t="shared" si="42"/>
        <v>0.27582499999999999</v>
      </c>
      <c r="AU24" s="58">
        <f t="shared" si="43"/>
        <v>1.0608653846153845E-3</v>
      </c>
      <c r="AV24" s="225"/>
      <c r="AW24" s="56">
        <v>77.66</v>
      </c>
      <c r="AX24" s="228">
        <f t="shared" si="44"/>
        <v>0.2986923076923077</v>
      </c>
      <c r="AY24" s="55">
        <f t="shared" si="45"/>
        <v>7.6883399999999993</v>
      </c>
      <c r="AZ24" s="55"/>
      <c r="BA24" s="57">
        <f t="shared" si="11"/>
        <v>7.6883399999999993</v>
      </c>
      <c r="BB24" s="58">
        <f t="shared" si="12"/>
        <v>2.9570538461538457E-2</v>
      </c>
      <c r="BC24" s="225"/>
      <c r="BD24" s="45" t="s">
        <v>117</v>
      </c>
      <c r="BE24" s="51">
        <v>0</v>
      </c>
      <c r="BF24" s="55">
        <f t="shared" si="46"/>
        <v>0</v>
      </c>
      <c r="BG24" s="229">
        <v>0.33</v>
      </c>
      <c r="BH24" s="57">
        <v>0</v>
      </c>
      <c r="BI24" s="58">
        <f t="shared" si="14"/>
        <v>0</v>
      </c>
      <c r="BJ24" s="211"/>
      <c r="BK24" s="226">
        <v>108</v>
      </c>
      <c r="BL24" s="228">
        <f t="shared" si="47"/>
        <v>0.41538461538461541</v>
      </c>
      <c r="BM24" s="55">
        <f t="shared" si="15"/>
        <v>21.0654</v>
      </c>
      <c r="BN24" s="55">
        <f t="shared" si="48"/>
        <v>6.4541832669322714</v>
      </c>
      <c r="BO24" s="57">
        <f t="shared" si="16"/>
        <v>14.611216733067728</v>
      </c>
      <c r="BP24" s="58">
        <f t="shared" si="17"/>
        <v>5.6196987434875875E-2</v>
      </c>
      <c r="BQ24" s="225"/>
      <c r="BR24" s="226">
        <v>583</v>
      </c>
      <c r="BS24" s="228">
        <f t="shared" si="49"/>
        <v>2.2423076923076923</v>
      </c>
      <c r="BT24" s="56">
        <f t="shared" si="50"/>
        <v>12.5345</v>
      </c>
      <c r="BU24" s="55">
        <f t="shared" si="51"/>
        <v>3.9626388271879165</v>
      </c>
      <c r="BV24" s="57">
        <f t="shared" si="52"/>
        <v>8.571861172812083</v>
      </c>
      <c r="BW24" s="58">
        <f t="shared" si="18"/>
        <v>3.296869681850801E-2</v>
      </c>
      <c r="BX24" s="225"/>
      <c r="BY24" s="45" t="s">
        <v>117</v>
      </c>
      <c r="BZ24" s="226">
        <v>663</v>
      </c>
      <c r="CA24" s="228">
        <f t="shared" si="53"/>
        <v>2.5499999999999998</v>
      </c>
      <c r="CB24" s="55">
        <f t="shared" si="54"/>
        <v>10.581480000000001</v>
      </c>
      <c r="CC24" s="56">
        <f t="shared" si="55"/>
        <v>5.5862034239677749</v>
      </c>
      <c r="CD24" s="57">
        <f t="shared" si="19"/>
        <v>4.995276576032226</v>
      </c>
      <c r="CE24" s="64">
        <f t="shared" si="20"/>
        <v>1.9212602215508561E-2</v>
      </c>
      <c r="CF24" s="225"/>
      <c r="CG24" s="233">
        <v>2105</v>
      </c>
      <c r="CH24" s="66">
        <f t="shared" si="56"/>
        <v>8.0961538461538467</v>
      </c>
      <c r="CI24" s="55">
        <f t="shared" si="57"/>
        <v>97.273102500000007</v>
      </c>
      <c r="CJ24" s="55">
        <f t="shared" si="58"/>
        <v>11.94651348828941</v>
      </c>
      <c r="CK24" s="57">
        <f t="shared" si="59"/>
        <v>85.326589011710595</v>
      </c>
      <c r="CL24" s="58">
        <f t="shared" si="21"/>
        <v>0.37412731730769233</v>
      </c>
      <c r="CM24" s="225"/>
      <c r="CN24" s="226">
        <v>784</v>
      </c>
      <c r="CO24" s="66">
        <f t="shared" si="60"/>
        <v>3.0153846153846153</v>
      </c>
      <c r="CP24" s="55">
        <f t="shared" si="61"/>
        <v>238.88048800000001</v>
      </c>
      <c r="CQ24" s="228">
        <f t="shared" si="62"/>
        <v>76.048870788596815</v>
      </c>
      <c r="CR24" s="57">
        <f t="shared" si="22"/>
        <v>162.8316172114032</v>
      </c>
      <c r="CS24" s="58">
        <f t="shared" si="23"/>
        <v>0.62627545081308922</v>
      </c>
      <c r="CT24" s="225"/>
      <c r="CU24" s="230">
        <f t="shared" si="63"/>
        <v>450.02091073280042</v>
      </c>
      <c r="CV24" s="231">
        <f t="shared" si="24"/>
        <v>1.77679778546573</v>
      </c>
      <c r="CW24" s="232"/>
      <c r="CZ24" s="45"/>
      <c r="DA24" s="234"/>
      <c r="DB24" s="235"/>
      <c r="DC24" s="230"/>
      <c r="DD24" s="236"/>
      <c r="DE24" s="235"/>
      <c r="DF24" s="230"/>
      <c r="DG24" s="236"/>
    </row>
    <row r="25" spans="1:112" ht="9" customHeight="1">
      <c r="A25" s="51" t="s">
        <v>191</v>
      </c>
      <c r="B25" s="213" t="s">
        <v>191</v>
      </c>
      <c r="C25" s="213" t="s">
        <v>191</v>
      </c>
      <c r="D25" s="51" t="s">
        <v>192</v>
      </c>
      <c r="E25" s="51" t="s">
        <v>192</v>
      </c>
      <c r="F25" s="237" t="s">
        <v>192</v>
      </c>
      <c r="G25" s="238" t="s">
        <v>192</v>
      </c>
      <c r="H25" s="237" t="s">
        <v>192</v>
      </c>
      <c r="I25" s="213" t="s">
        <v>193</v>
      </c>
      <c r="J25" s="239" t="s">
        <v>194</v>
      </c>
      <c r="K25" s="239" t="s">
        <v>194</v>
      </c>
      <c r="L25" s="240"/>
      <c r="M25" s="241" t="s">
        <v>194</v>
      </c>
      <c r="N25" s="242" t="s">
        <v>194</v>
      </c>
      <c r="O25" s="242" t="s">
        <v>194</v>
      </c>
      <c r="P25" s="242" t="s">
        <v>194</v>
      </c>
      <c r="Q25" s="242" t="s">
        <v>194</v>
      </c>
      <c r="R25" s="242" t="s">
        <v>194</v>
      </c>
      <c r="S25" s="243"/>
      <c r="T25" s="51" t="s">
        <v>191</v>
      </c>
      <c r="U25" s="51" t="s">
        <v>191</v>
      </c>
      <c r="V25" s="51" t="s">
        <v>191</v>
      </c>
      <c r="W25" s="244" t="s">
        <v>194</v>
      </c>
      <c r="X25" s="244" t="s">
        <v>194</v>
      </c>
      <c r="Y25" s="245" t="s">
        <v>194</v>
      </c>
      <c r="Z25" s="246" t="s">
        <v>194</v>
      </c>
      <c r="AA25" s="247"/>
      <c r="AB25" s="248" t="s">
        <v>191</v>
      </c>
      <c r="AC25" s="248" t="s">
        <v>191</v>
      </c>
      <c r="AD25" s="249" t="s">
        <v>191</v>
      </c>
      <c r="AE25" s="248" t="s">
        <v>191</v>
      </c>
      <c r="AF25" s="208"/>
      <c r="AG25" s="51" t="s">
        <v>191</v>
      </c>
      <c r="AH25" s="51" t="s">
        <v>191</v>
      </c>
      <c r="AI25" s="51" t="s">
        <v>191</v>
      </c>
      <c r="AJ25" s="51" t="s">
        <v>191</v>
      </c>
      <c r="AK25" s="51" t="s">
        <v>191</v>
      </c>
      <c r="AL25" s="239" t="s">
        <v>194</v>
      </c>
      <c r="AM25" s="240"/>
      <c r="AN25" s="51" t="s">
        <v>191</v>
      </c>
      <c r="AO25" s="227" t="s">
        <v>194</v>
      </c>
      <c r="AP25" s="250" t="s">
        <v>194</v>
      </c>
      <c r="AQ25" s="227" t="s">
        <v>194</v>
      </c>
      <c r="AR25" s="227" t="s">
        <v>194</v>
      </c>
      <c r="AS25" s="213" t="s">
        <v>193</v>
      </c>
      <c r="AT25" s="251" t="s">
        <v>193</v>
      </c>
      <c r="AU25" s="213" t="s">
        <v>193</v>
      </c>
      <c r="AV25" s="209"/>
      <c r="AW25" s="227" t="s">
        <v>193</v>
      </c>
      <c r="AX25" s="252" t="s">
        <v>193</v>
      </c>
      <c r="AY25" s="51" t="s">
        <v>195</v>
      </c>
      <c r="AZ25" s="244"/>
      <c r="BA25" s="244" t="s">
        <v>195</v>
      </c>
      <c r="BB25" s="50" t="s">
        <v>195</v>
      </c>
      <c r="BC25" s="209"/>
      <c r="BD25" s="51" t="s">
        <v>191</v>
      </c>
      <c r="BE25" s="51">
        <v>0</v>
      </c>
      <c r="BF25" s="51" t="s">
        <v>195</v>
      </c>
      <c r="BG25" s="51" t="s">
        <v>195</v>
      </c>
      <c r="BH25" s="50" t="s">
        <v>195</v>
      </c>
      <c r="BI25" s="50" t="s">
        <v>195</v>
      </c>
      <c r="BJ25" s="253"/>
      <c r="BK25" s="227" t="s">
        <v>195</v>
      </c>
      <c r="BL25" s="227" t="s">
        <v>195</v>
      </c>
      <c r="BM25" s="242" t="s">
        <v>196</v>
      </c>
      <c r="BN25" s="244" t="s">
        <v>196</v>
      </c>
      <c r="BO25" s="239" t="s">
        <v>196</v>
      </c>
      <c r="BP25" s="239" t="s">
        <v>196</v>
      </c>
      <c r="BQ25" s="240"/>
      <c r="BR25" s="242" t="s">
        <v>196</v>
      </c>
      <c r="BS25" s="242" t="s">
        <v>196</v>
      </c>
      <c r="BT25" s="242" t="s">
        <v>196</v>
      </c>
      <c r="BU25" s="242" t="s">
        <v>196</v>
      </c>
      <c r="BV25" s="244" t="s">
        <v>196</v>
      </c>
      <c r="BW25" s="245" t="s">
        <v>197</v>
      </c>
      <c r="BX25" s="254"/>
      <c r="BY25" s="51" t="s">
        <v>198</v>
      </c>
      <c r="BZ25" s="244" t="s">
        <v>197</v>
      </c>
      <c r="CA25" s="252" t="s">
        <v>197</v>
      </c>
      <c r="CB25" s="244" t="s">
        <v>197</v>
      </c>
      <c r="CC25" s="244" t="s">
        <v>197</v>
      </c>
      <c r="CD25" s="246" t="s">
        <v>193</v>
      </c>
      <c r="CE25" s="255" t="s">
        <v>193</v>
      </c>
      <c r="CF25" s="247"/>
      <c r="CG25" s="246" t="s">
        <v>193</v>
      </c>
      <c r="CH25" s="246" t="s">
        <v>193</v>
      </c>
      <c r="CI25" s="241" t="s">
        <v>193</v>
      </c>
      <c r="CJ25" s="241" t="s">
        <v>193</v>
      </c>
      <c r="CK25" s="246" t="s">
        <v>193</v>
      </c>
      <c r="CL25" s="246" t="s">
        <v>193</v>
      </c>
      <c r="CM25" s="247"/>
      <c r="CN25" s="213" t="s">
        <v>197</v>
      </c>
      <c r="CO25" s="227" t="s">
        <v>197</v>
      </c>
      <c r="CP25" s="227" t="s">
        <v>197</v>
      </c>
      <c r="CQ25" s="227" t="s">
        <v>197</v>
      </c>
      <c r="CR25" s="246" t="s">
        <v>193</v>
      </c>
      <c r="CS25" s="246" t="s">
        <v>193</v>
      </c>
      <c r="CT25" s="247"/>
      <c r="CU25" s="230" t="s">
        <v>196</v>
      </c>
      <c r="CV25" s="256" t="s">
        <v>197</v>
      </c>
      <c r="CW25" s="257"/>
      <c r="CX25" s="246"/>
      <c r="CZ25" s="45"/>
      <c r="DA25" s="258"/>
      <c r="DB25" s="259"/>
      <c r="DC25" s="259"/>
      <c r="DD25" s="259"/>
      <c r="DE25" s="235"/>
      <c r="DF25" s="260"/>
      <c r="DG25" s="261"/>
    </row>
    <row r="26" spans="1:112" ht="18" customHeight="1">
      <c r="A26" s="45" t="s">
        <v>199</v>
      </c>
      <c r="B26" s="52">
        <f>SUM(B11:B24)</f>
        <v>226698</v>
      </c>
      <c r="C26" s="214">
        <f t="shared" si="25"/>
        <v>1</v>
      </c>
      <c r="D26" s="52">
        <f>SUM(D11:D24)</f>
        <v>6587536</v>
      </c>
      <c r="E26" s="216">
        <f>SUM(D26/6427801)</f>
        <v>1.0248506448783963</v>
      </c>
      <c r="F26" s="262">
        <f>SUM(F11:F24)</f>
        <v>2101</v>
      </c>
      <c r="G26" s="218">
        <f t="shared" si="26"/>
        <v>8.0807692307692314</v>
      </c>
      <c r="H26" s="56">
        <f t="shared" si="27"/>
        <v>85.9</v>
      </c>
      <c r="I26" s="55">
        <f>SUM(F26*244)/2000</f>
        <v>256.322</v>
      </c>
      <c r="J26" s="57">
        <f>SUM(I26-H26)</f>
        <v>170.422</v>
      </c>
      <c r="K26" s="219">
        <f>SUM(J26/260)</f>
        <v>0.6554692307692308</v>
      </c>
      <c r="L26" s="220"/>
      <c r="M26" s="221">
        <f t="shared" si="28"/>
        <v>1505</v>
      </c>
      <c r="N26" s="218">
        <f t="shared" si="29"/>
        <v>5.7884615384615383</v>
      </c>
      <c r="O26" s="222">
        <f t="shared" si="30"/>
        <v>580.92999999999995</v>
      </c>
      <c r="P26" s="56">
        <f>SUM(P11:P24)</f>
        <v>12.82</v>
      </c>
      <c r="Q26" s="219">
        <f t="shared" si="31"/>
        <v>568.1099999999999</v>
      </c>
      <c r="R26" s="219">
        <f t="shared" si="4"/>
        <v>2.1850384615384613</v>
      </c>
      <c r="S26" s="220"/>
      <c r="T26" s="45" t="s">
        <v>199</v>
      </c>
      <c r="U26" s="97">
        <f t="shared" si="32"/>
        <v>252</v>
      </c>
      <c r="V26" s="218">
        <f t="shared" si="33"/>
        <v>0.96923076923076923</v>
      </c>
      <c r="W26" s="55">
        <f>SUM(U26*2326)/2000</f>
        <v>293.07600000000002</v>
      </c>
      <c r="X26" s="55">
        <f t="shared" si="34"/>
        <v>183.2</v>
      </c>
      <c r="Y26" s="57">
        <f>SUM(Y11:Y24)</f>
        <v>104.97685396430494</v>
      </c>
      <c r="Z26" s="70">
        <f>SUM(Y26/260)</f>
        <v>0.40375713063194207</v>
      </c>
      <c r="AA26" s="224"/>
      <c r="AB26" s="56">
        <f>SUM(AB11:AB24)</f>
        <v>1946.036325860837</v>
      </c>
      <c r="AC26" s="218">
        <f t="shared" si="35"/>
        <v>7.484755099464758</v>
      </c>
      <c r="AD26" s="63">
        <f t="shared" si="36"/>
        <v>188.76552360850118</v>
      </c>
      <c r="AE26" s="64">
        <f t="shared" si="37"/>
        <v>0.72602124464808149</v>
      </c>
      <c r="AF26" s="225"/>
      <c r="AG26" s="52">
        <f>SUM(AG11:AG24)</f>
        <v>9459</v>
      </c>
      <c r="AH26" s="218">
        <f t="shared" si="38"/>
        <v>36.380769230769232</v>
      </c>
      <c r="AI26" s="56">
        <f t="shared" si="39"/>
        <v>243.38007000000002</v>
      </c>
      <c r="AJ26" s="56">
        <f t="shared" si="40"/>
        <v>28</v>
      </c>
      <c r="AK26" s="57">
        <f t="shared" si="8"/>
        <v>215.38007000000002</v>
      </c>
      <c r="AL26" s="58">
        <f>SUM(AK26/260)</f>
        <v>0.82838488461538473</v>
      </c>
      <c r="AM26" s="225"/>
      <c r="AN26" s="45" t="s">
        <v>199</v>
      </c>
      <c r="AO26" s="52">
        <f>SUM(AO11:AO24)</f>
        <v>172.90000000000003</v>
      </c>
      <c r="AP26" s="63">
        <f>SUM(AO26*208.83)/2000</f>
        <v>18.053353500000004</v>
      </c>
      <c r="AQ26" s="64">
        <f t="shared" si="41"/>
        <v>6.9435975000000011E-2</v>
      </c>
      <c r="AR26" s="225"/>
      <c r="AS26" s="226">
        <f>SUM(AS11:AS24)</f>
        <v>3313.1</v>
      </c>
      <c r="AT26" s="57">
        <f t="shared" si="42"/>
        <v>21.502019000000001</v>
      </c>
      <c r="AU26" s="58">
        <f t="shared" si="43"/>
        <v>8.2700073076923078E-2</v>
      </c>
      <c r="AV26" s="225"/>
      <c r="AW26" s="56">
        <f>SUM(AW11:AW24)</f>
        <v>566.9</v>
      </c>
      <c r="AX26" s="228">
        <f t="shared" si="44"/>
        <v>2.1803846153846154</v>
      </c>
      <c r="AY26" s="56">
        <f>SUM(AY11:AY24)</f>
        <v>56.575199999999995</v>
      </c>
      <c r="AZ26" s="56">
        <f>SUM(AZ11:AZ24)</f>
        <v>26.14</v>
      </c>
      <c r="BA26" s="57">
        <f t="shared" si="11"/>
        <v>30.435199999999995</v>
      </c>
      <c r="BB26" s="58">
        <f>SUM(BA26/260)</f>
        <v>0.11705846153846151</v>
      </c>
      <c r="BC26" s="225"/>
      <c r="BD26" s="45" t="s">
        <v>199</v>
      </c>
      <c r="BE26" s="55">
        <f>SUM(BE11:BE24)</f>
        <v>50</v>
      </c>
      <c r="BF26" s="56">
        <f>SUM(BF11:BF24)</f>
        <v>5.2074999999999996</v>
      </c>
      <c r="BG26" s="52">
        <v>0</v>
      </c>
      <c r="BH26" s="57">
        <f>SUM(BH11:BH24)</f>
        <v>5.2074999999999996</v>
      </c>
      <c r="BI26" s="58">
        <f>SUM(BH26/260)</f>
        <v>2.0028846153846151E-2</v>
      </c>
      <c r="BJ26" s="211"/>
      <c r="BK26" s="229">
        <f>SUM(BK11:BK24)</f>
        <v>1506</v>
      </c>
      <c r="BL26" s="228">
        <f t="shared" si="47"/>
        <v>5.7923076923076922</v>
      </c>
      <c r="BM26" s="55">
        <f>SUM(BK26*390.1)/2000</f>
        <v>293.74529999999999</v>
      </c>
      <c r="BN26" s="55">
        <f>SUM(BN11:BN24)</f>
        <v>90.000000000000014</v>
      </c>
      <c r="BO26" s="63">
        <f>SUM(BO11:BO24)</f>
        <v>203.74530000000001</v>
      </c>
      <c r="BP26" s="263">
        <f>SUM(BP11:BP24)</f>
        <v>0.78363576923076916</v>
      </c>
      <c r="BQ26" s="264"/>
      <c r="BR26" s="52">
        <f>SUM(BR11:BR24)</f>
        <v>2251</v>
      </c>
      <c r="BS26" s="228">
        <f t="shared" si="49"/>
        <v>8.657692307692308</v>
      </c>
      <c r="BT26" s="56">
        <f t="shared" si="50"/>
        <v>48.396500000000003</v>
      </c>
      <c r="BU26" s="55">
        <f t="shared" si="51"/>
        <v>15.3</v>
      </c>
      <c r="BV26" s="57">
        <f t="shared" si="52"/>
        <v>33.096500000000006</v>
      </c>
      <c r="BW26" s="58">
        <f>SUM(BV26/260)</f>
        <v>0.1272942307692308</v>
      </c>
      <c r="BX26" s="225"/>
      <c r="BY26" s="45" t="s">
        <v>199</v>
      </c>
      <c r="BZ26" s="52">
        <f>SUM(BZ11:BZ24)</f>
        <v>2979</v>
      </c>
      <c r="CA26" s="228">
        <f t="shared" si="53"/>
        <v>11.457692307692307</v>
      </c>
      <c r="CB26" s="55">
        <f t="shared" si="54"/>
        <v>47.544840000000001</v>
      </c>
      <c r="CC26" s="56">
        <f t="shared" si="55"/>
        <v>25.1</v>
      </c>
      <c r="CD26" s="63">
        <f>SUM(CD11:CD24)</f>
        <v>22.444839999999999</v>
      </c>
      <c r="CE26" s="64">
        <f>SUM(CD26/260)</f>
        <v>8.6326307692307688E-2</v>
      </c>
      <c r="CF26" s="225"/>
      <c r="CG26" s="233">
        <f>SUM(CG11:CG24)</f>
        <v>22501</v>
      </c>
      <c r="CH26" s="66">
        <f t="shared" si="56"/>
        <v>86.542307692307688</v>
      </c>
      <c r="CI26" s="55">
        <f t="shared" si="57"/>
        <v>1039.7824605000001</v>
      </c>
      <c r="CJ26" s="55">
        <f t="shared" si="58"/>
        <v>127.7</v>
      </c>
      <c r="CK26" s="57">
        <f t="shared" si="59"/>
        <v>912.08246050000002</v>
      </c>
      <c r="CL26" s="58">
        <f t="shared" si="21"/>
        <v>3.9991633096153847</v>
      </c>
      <c r="CM26" s="225"/>
      <c r="CN26" s="226">
        <f>SUM(CN11:CN24)</f>
        <v>2701</v>
      </c>
      <c r="CO26" s="66">
        <f t="shared" si="60"/>
        <v>10.388461538461538</v>
      </c>
      <c r="CP26" s="55">
        <f t="shared" si="61"/>
        <v>822.97984450000001</v>
      </c>
      <c r="CQ26" s="228">
        <f t="shared" si="62"/>
        <v>262</v>
      </c>
      <c r="CR26" s="63">
        <f>SUM(CR11:CR24)</f>
        <v>560.97984450000001</v>
      </c>
      <c r="CS26" s="58">
        <f>SUM(CR26/260)</f>
        <v>2.1576147865384616</v>
      </c>
      <c r="CT26" s="225"/>
      <c r="CU26" s="230">
        <f t="shared" si="63"/>
        <v>3055.2014650728065</v>
      </c>
      <c r="CV26" s="231">
        <f>SUM(K26,R26,Z26,AE26,AL26,AQ26,AU26,BB26,BI26,BP26,BW26,CE26,CL26,CS26)</f>
        <v>12.241928711818485</v>
      </c>
      <c r="CW26" s="232"/>
      <c r="CX26" s="58"/>
      <c r="CZ26" s="45"/>
      <c r="DA26" s="234"/>
      <c r="DB26" s="235"/>
      <c r="DC26" s="230"/>
      <c r="DD26" s="236"/>
      <c r="DE26" s="235"/>
      <c r="DF26" s="230"/>
      <c r="DG26" s="236"/>
    </row>
    <row r="27" spans="1:112" ht="12.75" customHeight="1">
      <c r="F27" s="54"/>
      <c r="G27" s="54"/>
      <c r="H27" s="46">
        <v>85.9</v>
      </c>
      <c r="J27" s="233"/>
      <c r="K27" s="265"/>
      <c r="L27" s="266"/>
      <c r="M27" s="265">
        <v>1505</v>
      </c>
      <c r="N27" s="265"/>
      <c r="O27" s="265"/>
      <c r="P27" s="69">
        <v>12.7</v>
      </c>
      <c r="Q27" s="265"/>
      <c r="R27" s="265"/>
      <c r="S27" s="266"/>
      <c r="T27" s="46"/>
      <c r="U27" s="221">
        <v>252</v>
      </c>
      <c r="V27" s="221"/>
      <c r="X27" s="267"/>
      <c r="Y27" s="265"/>
      <c r="AA27" s="202"/>
      <c r="AB27" s="199" t="s">
        <v>345</v>
      </c>
      <c r="AC27" s="199"/>
      <c r="AE27" s="265"/>
      <c r="AF27" s="266"/>
      <c r="AK27" s="265"/>
      <c r="AL27" s="219"/>
      <c r="AM27" s="220"/>
      <c r="AN27" s="229"/>
      <c r="AQ27" s="233"/>
      <c r="AR27" s="268"/>
      <c r="AS27" s="226"/>
      <c r="AT27" s="265"/>
      <c r="AU27" s="265"/>
      <c r="AV27" s="266"/>
      <c r="AW27" s="226"/>
      <c r="AX27" s="226"/>
      <c r="AY27" s="221"/>
      <c r="AZ27" s="221"/>
      <c r="BA27" s="265"/>
      <c r="BB27" s="265"/>
      <c r="BC27" s="266"/>
      <c r="BD27" s="221"/>
      <c r="BE27" s="269"/>
      <c r="BF27" s="221"/>
      <c r="BG27" s="221"/>
      <c r="BH27" s="265"/>
      <c r="BI27" s="265"/>
      <c r="BJ27" s="270"/>
      <c r="BK27" s="226"/>
      <c r="BL27" s="226"/>
      <c r="BM27" s="221"/>
      <c r="BN27" s="221">
        <v>90</v>
      </c>
      <c r="BO27" s="265"/>
      <c r="BP27" s="265"/>
      <c r="BQ27" s="266"/>
      <c r="BU27" s="221">
        <v>15.3</v>
      </c>
      <c r="BV27" s="265"/>
      <c r="BW27" s="265"/>
      <c r="BX27" s="266"/>
      <c r="CB27" s="229"/>
      <c r="CC27" s="46">
        <v>25.1</v>
      </c>
      <c r="CD27" s="233"/>
      <c r="CE27" s="64"/>
      <c r="CF27" s="268"/>
      <c r="CG27" s="233"/>
      <c r="CH27" s="233"/>
      <c r="CI27" s="229"/>
      <c r="CJ27" s="229"/>
      <c r="CK27" s="233"/>
      <c r="CL27" s="233"/>
      <c r="CM27" s="268"/>
      <c r="CN27" s="233"/>
      <c r="CO27" s="233"/>
      <c r="CP27" s="233"/>
      <c r="CQ27" s="233"/>
      <c r="CR27" s="233"/>
      <c r="CS27" s="271"/>
      <c r="CT27" s="268"/>
      <c r="CU27" s="57">
        <f>SUM(CU11:CU24)</f>
        <v>3055.2014650728061</v>
      </c>
      <c r="CV27" s="232">
        <f>SUM(CV11:CV24)</f>
        <v>12.241052948117654</v>
      </c>
      <c r="CW27" s="265"/>
      <c r="CX27" s="265"/>
      <c r="CZ27" s="46"/>
      <c r="DA27" s="272"/>
      <c r="DB27" s="235"/>
      <c r="DC27" s="272"/>
      <c r="DD27" s="272"/>
      <c r="DE27" s="272"/>
      <c r="DF27" s="273"/>
      <c r="DG27" s="272"/>
    </row>
    <row r="28" spans="1:112" s="65" customFormat="1">
      <c r="A28" s="65" t="s">
        <v>121</v>
      </c>
      <c r="B28" s="53"/>
      <c r="C28" s="53"/>
      <c r="H28" s="68">
        <f>SUM(H12,H16,H17,H18)</f>
        <v>18.970775821037602</v>
      </c>
      <c r="I28" s="68">
        <f>SUM(I12,I16,I17,I18)</f>
        <v>56.608000000000004</v>
      </c>
      <c r="J28" s="68">
        <f>SUM(J12,J16,J17,J18)</f>
        <v>37.637224178962398</v>
      </c>
      <c r="K28" s="70">
        <f>SUM(K12,K16,K17,K18)</f>
        <v>0.14475855453447078</v>
      </c>
      <c r="L28" s="224"/>
      <c r="M28" s="70"/>
      <c r="N28" s="70"/>
      <c r="O28" s="70"/>
      <c r="P28" s="70"/>
      <c r="Q28" s="68">
        <f>SUM(Q12,Q16,Q17,Q18)</f>
        <v>79.320093516484491</v>
      </c>
      <c r="R28" s="70">
        <f>SUM(R12,R16,R17,R18)</f>
        <v>0.30507728275570961</v>
      </c>
      <c r="S28" s="224"/>
      <c r="T28" s="68"/>
      <c r="U28" s="68"/>
      <c r="V28" s="68"/>
      <c r="W28" s="68"/>
      <c r="X28" s="68"/>
      <c r="Y28" s="68">
        <f>SUM(Y12,Y16,Y17,Y18)</f>
        <v>15.72495983202322</v>
      </c>
      <c r="Z28" s="70">
        <f>SUM(Z12,Z16,Z17,Z18)</f>
        <v>6.0480614738550841E-2</v>
      </c>
      <c r="AA28" s="224"/>
      <c r="AB28" s="200" t="s">
        <v>344</v>
      </c>
      <c r="AC28" s="200"/>
      <c r="AD28" s="70">
        <f>SUM(AD12,AD16,AD17,AD18)</f>
        <v>4.3650000000000002</v>
      </c>
      <c r="AE28" s="70">
        <f>SUM(AE12,AE16,AE17,AE18)</f>
        <v>1.678846153846154E-2</v>
      </c>
      <c r="AF28" s="274"/>
      <c r="AG28" s="68">
        <f>SUM(AG12,AG16,AG17,AG18)</f>
        <v>1544</v>
      </c>
      <c r="AH28" s="68"/>
      <c r="AI28" s="68">
        <f>SUM(AI12,AI16,AI17,AI18)</f>
        <v>39.727119999999999</v>
      </c>
      <c r="AJ28" s="68">
        <f>SUM(AJ12,AJ16,AJ17,AJ18)</f>
        <v>4.5704619938682738</v>
      </c>
      <c r="AK28" s="68">
        <f>SUM(AK12,AK16,AK17,AK18)</f>
        <v>35.156658006131728</v>
      </c>
      <c r="AL28" s="70">
        <f>SUM(AL12,AL16,AL17,AL18)</f>
        <v>0.13434215170736863</v>
      </c>
      <c r="AM28" s="274"/>
      <c r="AN28" s="65" t="s">
        <v>121</v>
      </c>
      <c r="AO28" s="68">
        <f>SUM(AO12,AO16,AO17,AO18)</f>
        <v>6.3</v>
      </c>
      <c r="AP28" s="68">
        <f>SUM(AP12,AP16,AP17,AP18)</f>
        <v>0.65781450000000008</v>
      </c>
      <c r="AQ28" s="70">
        <f>SUM(AQ12,AQ16,AQ17,AQ18)</f>
        <v>2.5300557692307696E-3</v>
      </c>
      <c r="AR28" s="274"/>
      <c r="AS28" s="68">
        <f>SUM(AS12,AS16,AS17,AS18)</f>
        <v>292.10000000000002</v>
      </c>
      <c r="AT28" s="68">
        <f>SUM(AT12,AT16,AT17,AT18)</f>
        <v>1.895729</v>
      </c>
      <c r="AU28" s="70">
        <f>SUM(AU12,AU16,AU17,AU18)</f>
        <v>7.2912653846153846E-3</v>
      </c>
      <c r="AV28" s="224"/>
      <c r="AW28" s="68">
        <f>SUM(AW12,AW16,AW17,AW18)</f>
        <v>0</v>
      </c>
      <c r="AX28" s="68"/>
      <c r="AY28" s="68">
        <f>SUM(AY12,AY16,AY17,AY18)</f>
        <v>0</v>
      </c>
      <c r="AZ28" s="68">
        <f>SUM(AZ12,AZ16,AZ17,AZ18)</f>
        <v>0</v>
      </c>
      <c r="BA28" s="68">
        <f>SUM(BA12,BA16,BA17,BA18)</f>
        <v>0</v>
      </c>
      <c r="BB28" s="70">
        <f>SUM(BB12,BB16,BB17,BB18)</f>
        <v>0</v>
      </c>
      <c r="BC28" s="274"/>
      <c r="BD28" s="65" t="s">
        <v>121</v>
      </c>
      <c r="BE28" s="53"/>
      <c r="BF28" s="68">
        <f>SUM(BF12,BF16,BF17,BF18)</f>
        <v>4.4784499999999996</v>
      </c>
      <c r="BG28" s="68">
        <f>SUM(BG12,BG16,BG17,BG18)</f>
        <v>0</v>
      </c>
      <c r="BH28" s="68">
        <f>SUM(BH12,BH16,BH17,BH18)</f>
        <v>4.4784499999999996</v>
      </c>
      <c r="BI28" s="70">
        <f>SUM(BI12,BI16,BI17,BI18)</f>
        <v>1.7224807692307692E-2</v>
      </c>
      <c r="BJ28" s="202"/>
      <c r="BK28" s="68">
        <f>SUM(BK12,BK16,BK17,BK18)</f>
        <v>315</v>
      </c>
      <c r="BL28" s="68"/>
      <c r="BM28" s="68">
        <f>SUM(BM12,BM16,BM17,BM18)</f>
        <v>61.440750000000001</v>
      </c>
      <c r="BN28" s="68">
        <f>SUM(BN12,BN16,BN17,BN18)</f>
        <v>18.824701195219124</v>
      </c>
      <c r="BO28" s="68">
        <f>SUM(BO12,BO16,BO17,BO18)</f>
        <v>42.616048804780881</v>
      </c>
      <c r="BP28" s="70">
        <f>SUM(BP12,BP16,BP17,BP18)</f>
        <v>0.16390788001838799</v>
      </c>
      <c r="BQ28" s="274"/>
      <c r="BR28" s="68">
        <f>SUM(BR12,BR16,BR17,BR18)</f>
        <v>489</v>
      </c>
      <c r="BS28" s="68"/>
      <c r="BT28" s="68">
        <f>SUM(BT12,BT16,BT17,BT18)</f>
        <v>10.513500000000001</v>
      </c>
      <c r="BU28" s="68">
        <f>SUM(BU12,BU16,BU17,BU18)</f>
        <v>3.3237227898711685</v>
      </c>
      <c r="BV28" s="68">
        <f>SUM(BV12,BV16,BV17,BV18)</f>
        <v>7.1897772101288311</v>
      </c>
      <c r="BW28" s="70">
        <f>SUM(BW12,BW16,BW17,BW18)</f>
        <v>2.7652989269726279E-2</v>
      </c>
      <c r="BX28" s="274"/>
      <c r="BY28" s="65" t="s">
        <v>121</v>
      </c>
      <c r="BZ28" s="68">
        <f>SUM(BZ12,BZ16,BZ17,BZ18)</f>
        <v>472</v>
      </c>
      <c r="CA28" s="68"/>
      <c r="CB28" s="68">
        <f>SUM(CB12,CB16,CB17,CB18)</f>
        <v>7.5331200000000003</v>
      </c>
      <c r="CC28" s="68">
        <f>SUM(CC12,CC16,CC17,CC18)</f>
        <v>3.976905001678416</v>
      </c>
      <c r="CD28" s="68">
        <f>SUM(CD12,CD16,CD17,CD18)</f>
        <v>3.5562149983215843</v>
      </c>
      <c r="CE28" s="275">
        <f>SUM(CE12,CE16,CE17,CE18)</f>
        <v>1.3677749993544555E-2</v>
      </c>
      <c r="CF28" s="224"/>
      <c r="CG28" s="265"/>
      <c r="CH28" s="265"/>
      <c r="CI28" s="60"/>
      <c r="CJ28" s="60"/>
      <c r="CK28" s="70">
        <f>SUM(CK12,CK16,CK17,CK18)</f>
        <v>126.38874324870008</v>
      </c>
      <c r="CL28" s="70">
        <f>SUM(CL12,CL16,CL17,CL18)</f>
        <v>0.55417053461538479</v>
      </c>
      <c r="CM28" s="224"/>
      <c r="CN28" s="70"/>
      <c r="CO28" s="70"/>
      <c r="CP28" s="70"/>
      <c r="CQ28" s="70"/>
      <c r="CR28" s="68">
        <f>SUM(CR12,CR16,CR17,CR18)</f>
        <v>213.71649758996671</v>
      </c>
      <c r="CS28" s="70">
        <f>SUM(CS12,CS16,CS17,CS18)</f>
        <v>0.82198652919217952</v>
      </c>
      <c r="CT28" s="224"/>
      <c r="CU28" s="68">
        <f>SUM(CU12,CU16,CU17,CU18)</f>
        <v>572.70321088549986</v>
      </c>
      <c r="CV28" s="276">
        <f>SUM(CV12,CV16,CV17,CV18)</f>
        <v>2.2698888772099384</v>
      </c>
      <c r="CW28" s="68"/>
      <c r="CX28" s="68"/>
      <c r="DA28" s="68"/>
      <c r="DB28" s="68"/>
      <c r="DC28" s="68"/>
      <c r="DD28" s="68"/>
      <c r="DE28" s="68"/>
      <c r="DF28" s="68"/>
      <c r="DG28" s="68"/>
    </row>
    <row r="29" spans="1:112" s="65" customFormat="1">
      <c r="A29" s="65" t="s">
        <v>120</v>
      </c>
      <c r="B29" s="50"/>
      <c r="C29" s="50"/>
      <c r="H29" s="68">
        <f>SUM(H26-H28)</f>
        <v>66.9292241789624</v>
      </c>
      <c r="I29" s="68">
        <f>SUM(I26-I28)</f>
        <v>199.714</v>
      </c>
      <c r="J29" s="68">
        <f>SUM(J26-J28)</f>
        <v>132.78477582103761</v>
      </c>
      <c r="K29" s="70">
        <f>SUM(K26-K28)</f>
        <v>0.51071067623475996</v>
      </c>
      <c r="L29" s="224"/>
      <c r="M29" s="70"/>
      <c r="N29" s="70"/>
      <c r="O29" s="70"/>
      <c r="P29" s="70"/>
      <c r="Q29" s="68">
        <f>SUM(Q26-Q28)</f>
        <v>488.78990648351544</v>
      </c>
      <c r="R29" s="70">
        <f>SUM(R26-R28)</f>
        <v>1.8799611787827517</v>
      </c>
      <c r="S29" s="224"/>
      <c r="T29" s="68"/>
      <c r="U29" s="68"/>
      <c r="V29" s="68"/>
      <c r="W29" s="68"/>
      <c r="X29" s="68"/>
      <c r="Y29" s="68">
        <f>SUM(Y26-Y28)</f>
        <v>89.25189413228172</v>
      </c>
      <c r="Z29" s="70">
        <f>SUM(Z26-Z28)</f>
        <v>0.34327651589339125</v>
      </c>
      <c r="AA29" s="224"/>
      <c r="AB29" s="68"/>
      <c r="AC29" s="68"/>
      <c r="AD29" s="70">
        <f>SUM(AD26-AD28)</f>
        <v>184.40052360850117</v>
      </c>
      <c r="AE29" s="70">
        <f>SUM(AE26-AE28)</f>
        <v>0.7092327831096199</v>
      </c>
      <c r="AF29" s="274"/>
      <c r="AG29" s="68">
        <f>SUM(AG26-AG28)</f>
        <v>7915</v>
      </c>
      <c r="AH29" s="68"/>
      <c r="AI29" s="68">
        <f>SUM(AI26-AI28)</f>
        <v>203.65295000000003</v>
      </c>
      <c r="AJ29" s="68">
        <f>SUM(AJ26-AJ28)</f>
        <v>23.429538006131725</v>
      </c>
      <c r="AK29" s="68">
        <f>SUM(AK26-AK28)</f>
        <v>180.2234119938683</v>
      </c>
      <c r="AL29" s="70">
        <f>SUM(AL26-AL28)</f>
        <v>0.6940427329080161</v>
      </c>
      <c r="AM29" s="274"/>
      <c r="AN29" s="65" t="s">
        <v>120</v>
      </c>
      <c r="AO29" s="68">
        <f>SUM(AO26-AO28)</f>
        <v>166.60000000000002</v>
      </c>
      <c r="AP29" s="68">
        <f>SUM(AP26-AP28)</f>
        <v>17.395539000000003</v>
      </c>
      <c r="AQ29" s="70">
        <f>SUM(AQ26-AQ28)</f>
        <v>6.6905919230769245E-2</v>
      </c>
      <c r="AR29" s="274"/>
      <c r="AS29" s="68">
        <f>SUM(AS26-AS28)</f>
        <v>3021</v>
      </c>
      <c r="AT29" s="68">
        <f>SUM(AT26-AT28)</f>
        <v>19.606290000000001</v>
      </c>
      <c r="AU29" s="70">
        <f>SUM(AU26-AU28)</f>
        <v>7.5408807692307692E-2</v>
      </c>
      <c r="AV29" s="224"/>
      <c r="AW29" s="68">
        <f>SUM(AW26-AW28)</f>
        <v>566.9</v>
      </c>
      <c r="AX29" s="68"/>
      <c r="AY29" s="68">
        <f>SUM(AY26-AY28)</f>
        <v>56.575199999999995</v>
      </c>
      <c r="AZ29" s="68">
        <f>SUM(AZ26-AZ28)</f>
        <v>26.14</v>
      </c>
      <c r="BA29" s="68">
        <f>SUM(BA26-BA28)</f>
        <v>30.435199999999995</v>
      </c>
      <c r="BB29" s="70">
        <f>SUM(BB26-BB28)</f>
        <v>0.11705846153846151</v>
      </c>
      <c r="BC29" s="274"/>
      <c r="BD29" s="65" t="s">
        <v>120</v>
      </c>
      <c r="BE29" s="53"/>
      <c r="BF29" s="68">
        <f>SUM(BF26-BF28)</f>
        <v>0.72904999999999998</v>
      </c>
      <c r="BG29" s="68">
        <f>SUM(BG26-BG28)</f>
        <v>0</v>
      </c>
      <c r="BH29" s="68">
        <f>SUM(BH26-BH28)</f>
        <v>0.72904999999999998</v>
      </c>
      <c r="BI29" s="70">
        <f>SUM(BI26-BI28)</f>
        <v>2.8040384615384585E-3</v>
      </c>
      <c r="BJ29" s="202"/>
      <c r="BK29" s="68">
        <f>SUM(BK26-BK28)</f>
        <v>1191</v>
      </c>
      <c r="BL29" s="68"/>
      <c r="BM29" s="68">
        <f>SUM(BM26-BM28)</f>
        <v>232.30454999999998</v>
      </c>
      <c r="BN29" s="68">
        <f>SUM(BN26-BN28)</f>
        <v>71.175298804780894</v>
      </c>
      <c r="BO29" s="68">
        <f>SUM(BO26-BO28)</f>
        <v>161.12925119521913</v>
      </c>
      <c r="BP29" s="70">
        <f>SUM(BP26-BP28)</f>
        <v>0.6197278892123812</v>
      </c>
      <c r="BQ29" s="274"/>
      <c r="BR29" s="68">
        <f>SUM(BR26-BR28)</f>
        <v>1762</v>
      </c>
      <c r="BS29" s="68"/>
      <c r="BT29" s="68">
        <f>SUM(BT26-BT28)</f>
        <v>37.883000000000003</v>
      </c>
      <c r="BU29" s="68">
        <f>SUM(BU26-BU28)</f>
        <v>11.976277210128831</v>
      </c>
      <c r="BV29" s="68">
        <f>SUM(BV26-BV28)</f>
        <v>25.906722789871175</v>
      </c>
      <c r="BW29" s="70">
        <f>SUM(BW26-BW28)</f>
        <v>9.9641241499504513E-2</v>
      </c>
      <c r="BX29" s="274"/>
      <c r="BY29" s="65" t="s">
        <v>120</v>
      </c>
      <c r="BZ29" s="68">
        <f>SUM(BZ26-BZ28)</f>
        <v>2507</v>
      </c>
      <c r="CA29" s="68"/>
      <c r="CB29" s="68">
        <f>SUM(CB26-CB28)</f>
        <v>40.011719999999997</v>
      </c>
      <c r="CC29" s="68">
        <f>SUM(CC26-CC28)</f>
        <v>21.123094998321584</v>
      </c>
      <c r="CD29" s="68">
        <f>SUM(CD26-CD28)</f>
        <v>18.888625001678413</v>
      </c>
      <c r="CE29" s="275">
        <f>SUM(CE26-CE28)</f>
        <v>7.2648557698763133E-2</v>
      </c>
      <c r="CF29" s="224"/>
      <c r="CG29" s="265"/>
      <c r="CH29" s="265"/>
      <c r="CI29" s="60"/>
      <c r="CJ29" s="60"/>
      <c r="CK29" s="70">
        <f>SUM(CK26-CK28)</f>
        <v>785.69371725129997</v>
      </c>
      <c r="CL29" s="70">
        <f>SUM(CL26-CL28)</f>
        <v>3.4449927749999998</v>
      </c>
      <c r="CM29" s="224"/>
      <c r="CN29" s="70"/>
      <c r="CO29" s="70"/>
      <c r="CP29" s="70"/>
      <c r="CQ29" s="70"/>
      <c r="CR29" s="68">
        <f>SUM(CR26-CR28)</f>
        <v>347.26334691003331</v>
      </c>
      <c r="CS29" s="70">
        <f>SUM(CS26-CS28)</f>
        <v>1.3356282573462821</v>
      </c>
      <c r="CT29" s="224"/>
      <c r="CU29" s="68">
        <f>SUM(CU26-CU28)</f>
        <v>2482.4982541873069</v>
      </c>
      <c r="CV29" s="276">
        <f>SUM(CV26-CV28)</f>
        <v>9.9720398346085464</v>
      </c>
      <c r="CW29" s="68"/>
      <c r="CX29" s="68"/>
      <c r="DA29" s="68"/>
      <c r="DB29" s="68"/>
      <c r="DC29" s="68"/>
      <c r="DD29" s="68"/>
      <c r="DE29" s="68"/>
      <c r="DF29" s="68"/>
      <c r="DG29" s="68"/>
      <c r="DH29" s="68"/>
    </row>
    <row r="30" spans="1:112">
      <c r="J30" s="58"/>
      <c r="BE30" s="54"/>
      <c r="DD30" s="59"/>
    </row>
    <row r="31" spans="1:112">
      <c r="J31" s="58"/>
      <c r="AE31" s="54"/>
      <c r="AF31" s="54"/>
      <c r="AQ31" s="54"/>
      <c r="BE31" s="54"/>
      <c r="BP31" s="54"/>
      <c r="DD31" s="277"/>
    </row>
    <row r="32" spans="1:112">
      <c r="J32" s="58"/>
      <c r="O32" s="46"/>
      <c r="AY32" s="46"/>
      <c r="BE32" s="54"/>
      <c r="CS32" s="46"/>
    </row>
    <row r="33" spans="9:108">
      <c r="I33" s="54" t="s">
        <v>122</v>
      </c>
      <c r="J33" s="58"/>
      <c r="AD33" s="54" t="s">
        <v>200</v>
      </c>
      <c r="AU33" s="278" t="s">
        <v>350</v>
      </c>
      <c r="BE33" s="54"/>
      <c r="BN33" s="46" t="s">
        <v>201</v>
      </c>
      <c r="CL33" s="46" t="s">
        <v>202</v>
      </c>
      <c r="DD33" s="59"/>
    </row>
    <row r="34" spans="9:108">
      <c r="J34" s="58"/>
      <c r="AP34" s="53"/>
      <c r="BE34" s="54"/>
      <c r="BV34" s="53"/>
    </row>
    <row r="35" spans="9:108">
      <c r="BE35" s="54"/>
    </row>
    <row r="36" spans="9:108">
      <c r="I36" s="66"/>
      <c r="J36" s="58"/>
    </row>
    <row r="37" spans="9:108">
      <c r="I37" s="66"/>
      <c r="J37" s="58"/>
    </row>
    <row r="38" spans="9:108">
      <c r="I38" s="66"/>
      <c r="J38" s="58"/>
    </row>
    <row r="39" spans="9:108">
      <c r="I39" s="66"/>
      <c r="J39" s="58"/>
    </row>
  </sheetData>
  <phoneticPr fontId="0" type="noConversion"/>
  <hyperlinks>
    <hyperlink ref="AB27" r:id="rId1"/>
  </hyperlinks>
  <printOptions gridLines="1" gridLinesSet="0"/>
  <pageMargins left="0.5" right="0.25" top="0.5" bottom="0.25" header="0.25" footer="0.25"/>
  <pageSetup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E35"/>
  <sheetViews>
    <sheetView zoomScaleNormal="100" workbookViewId="0">
      <selection sqref="A1:IV65536"/>
    </sheetView>
  </sheetViews>
  <sheetFormatPr defaultRowHeight="15" customHeight="1"/>
  <cols>
    <col min="1" max="1" width="5.7109375" style="101" customWidth="1"/>
    <col min="2" max="2" width="6" style="101" customWidth="1"/>
    <col min="3" max="3" width="6.5703125" style="101" customWidth="1"/>
    <col min="4" max="5" width="5.7109375" style="101" customWidth="1"/>
    <col min="6" max="6" width="7" style="101" customWidth="1"/>
    <col min="7" max="7" width="5.28515625" style="101" customWidth="1"/>
    <col min="8" max="8" width="4.28515625" style="101" customWidth="1"/>
    <col min="9" max="9" width="5.140625" style="101" customWidth="1"/>
    <col min="10" max="10" width="5.28515625" style="103" customWidth="1"/>
    <col min="11" max="11" width="5" style="101" customWidth="1"/>
    <col min="12" max="12" width="0.7109375" style="104" customWidth="1"/>
    <col min="13" max="13" width="7.85546875" style="75" customWidth="1"/>
    <col min="14" max="14" width="5.28515625" style="75" customWidth="1"/>
    <col min="15" max="15" width="4.85546875" style="75" customWidth="1"/>
    <col min="16" max="16" width="5.140625" style="107" customWidth="1"/>
    <col min="17" max="18" width="4.5703125" style="107" customWidth="1"/>
    <col min="19" max="19" width="6" style="107" customWidth="1"/>
    <col min="20" max="20" width="5.7109375" style="107" customWidth="1"/>
    <col min="21" max="21" width="0.7109375" style="104" customWidth="1"/>
    <col min="22" max="22" width="5.42578125" style="101" customWidth="1"/>
    <col min="23" max="23" width="4.7109375" style="101" customWidth="1"/>
    <col min="24" max="24" width="5.140625" style="101" customWidth="1"/>
    <col min="25" max="25" width="4.7109375" style="101" customWidth="1"/>
    <col min="26" max="26" width="5.85546875" style="101" customWidth="1"/>
    <col min="27" max="27" width="4.7109375" style="101" customWidth="1"/>
    <col min="28" max="28" width="0.7109375" style="104" customWidth="1"/>
    <col min="29" max="29" width="5.85546875" style="104" customWidth="1"/>
    <col min="30" max="30" width="2.85546875" style="101" customWidth="1"/>
    <col min="31" max="31" width="4.28515625" style="101" customWidth="1"/>
    <col min="32" max="32" width="4.7109375" style="101" customWidth="1"/>
    <col min="33" max="33" width="5" style="101" customWidth="1"/>
    <col min="34" max="34" width="1.140625" style="101" customWidth="1"/>
    <col min="35" max="36" width="6.42578125" style="101" customWidth="1"/>
    <col min="37" max="37" width="0.5703125" style="104" customWidth="1"/>
    <col min="38" max="38" width="5" style="101" customWidth="1"/>
    <col min="39" max="39" width="4.28515625" style="101" customWidth="1"/>
    <col min="40" max="40" width="8" style="101" customWidth="1"/>
    <col min="41" max="43" width="5.28515625" style="101" customWidth="1"/>
    <col min="44" max="44" width="5.140625" style="101" customWidth="1"/>
    <col min="45" max="45" width="5.42578125" style="101" customWidth="1"/>
    <col min="46" max="46" width="4.85546875" style="101" customWidth="1"/>
    <col min="47" max="47" width="6.140625" style="101" customWidth="1"/>
    <col min="48" max="48" width="5.140625" style="101" customWidth="1"/>
    <col min="49" max="49" width="4.28515625" style="101" customWidth="1"/>
    <col min="50" max="50" width="0.5703125" style="104" customWidth="1"/>
    <col min="51" max="51" width="5.28515625" style="75" customWidth="1"/>
    <col min="52" max="52" width="5.7109375" style="75" customWidth="1"/>
    <col min="53" max="53" width="4.28515625" style="75" customWidth="1"/>
    <col min="54" max="54" width="5.85546875" style="75" customWidth="1"/>
    <col min="55" max="55" width="0.85546875" style="108" customWidth="1"/>
    <col min="56" max="56" width="7.7109375" style="96" customWidth="1"/>
    <col min="57" max="57" width="7.140625" style="8" customWidth="1"/>
    <col min="58" max="58" width="1.140625" style="101" customWidth="1"/>
    <col min="59" max="59" width="6" style="101" customWidth="1"/>
    <col min="60" max="60" width="6.42578125" style="101" customWidth="1"/>
    <col min="61" max="61" width="6.85546875" style="101" customWidth="1"/>
    <col min="62" max="62" width="1.42578125" style="101" customWidth="1"/>
    <col min="63" max="16384" width="9.140625" style="101"/>
  </cols>
  <sheetData>
    <row r="1" spans="1:57" ht="19.5" customHeight="1">
      <c r="A1" s="100"/>
      <c r="B1" s="100"/>
      <c r="H1" s="102" t="s">
        <v>470</v>
      </c>
      <c r="N1" s="105"/>
      <c r="O1" s="105"/>
      <c r="P1" s="106"/>
      <c r="Y1" s="75"/>
      <c r="Z1" s="75"/>
      <c r="AA1" s="75"/>
      <c r="AB1" s="108"/>
      <c r="AC1" s="108"/>
      <c r="AI1" s="109" t="s">
        <v>377</v>
      </c>
    </row>
    <row r="2" spans="1:57" ht="15" customHeight="1">
      <c r="A2" s="110" t="s">
        <v>468</v>
      </c>
      <c r="B2" s="100"/>
      <c r="AI2" s="110" t="s">
        <v>464</v>
      </c>
    </row>
    <row r="3" spans="1:57" s="103" customFormat="1" ht="18" customHeight="1">
      <c r="A3" s="111"/>
      <c r="B3" s="110"/>
      <c r="C3" s="110"/>
      <c r="D3" s="112" t="s">
        <v>208</v>
      </c>
      <c r="J3" s="113"/>
      <c r="L3" s="114"/>
      <c r="M3" s="115" t="s">
        <v>204</v>
      </c>
      <c r="N3" s="115"/>
      <c r="O3" s="115"/>
      <c r="P3" s="116"/>
      <c r="Q3" s="116"/>
      <c r="R3" s="116"/>
      <c r="S3" s="117"/>
      <c r="T3" s="117"/>
      <c r="U3" s="114"/>
      <c r="V3" s="112" t="s">
        <v>205</v>
      </c>
      <c r="W3" s="112"/>
      <c r="Y3" s="101" t="s">
        <v>373</v>
      </c>
      <c r="AB3" s="114"/>
      <c r="AC3" s="118"/>
      <c r="AD3" s="110" t="s">
        <v>206</v>
      </c>
      <c r="AE3" s="110"/>
      <c r="AI3" s="112" t="s">
        <v>207</v>
      </c>
      <c r="AJ3" s="111"/>
      <c r="AK3" s="114"/>
      <c r="AX3" s="114"/>
      <c r="AY3" s="119"/>
      <c r="AZ3" s="119"/>
      <c r="BA3" s="119"/>
      <c r="BB3" s="119"/>
      <c r="BC3" s="120"/>
      <c r="BD3" s="121"/>
      <c r="BE3" s="113"/>
    </row>
    <row r="4" spans="1:57" s="111" customFormat="1" ht="18" customHeight="1">
      <c r="A4" s="122"/>
      <c r="B4" s="122"/>
      <c r="D4" s="111" t="s">
        <v>215</v>
      </c>
      <c r="F4" s="112"/>
      <c r="G4" s="112"/>
      <c r="I4" s="112"/>
      <c r="J4" s="103"/>
      <c r="L4" s="123"/>
      <c r="M4" s="124"/>
      <c r="N4" s="115"/>
      <c r="O4" s="115" t="s">
        <v>209</v>
      </c>
      <c r="P4" s="125"/>
      <c r="Q4" s="125"/>
      <c r="R4" s="125"/>
      <c r="S4" s="126"/>
      <c r="T4" s="126"/>
      <c r="U4" s="123"/>
      <c r="X4" s="112"/>
      <c r="Y4" s="111" t="s">
        <v>210</v>
      </c>
      <c r="Z4" s="112"/>
      <c r="AA4" s="112"/>
      <c r="AB4" s="127"/>
      <c r="AC4" s="128"/>
      <c r="AD4" s="112" t="s">
        <v>211</v>
      </c>
      <c r="AE4" s="112"/>
      <c r="AI4" s="112" t="s">
        <v>212</v>
      </c>
      <c r="AK4" s="123"/>
      <c r="AN4" s="112" t="s">
        <v>213</v>
      </c>
      <c r="AP4" s="112"/>
      <c r="AQ4" s="112"/>
      <c r="AR4" s="112"/>
      <c r="AS4" s="112"/>
      <c r="AT4" s="112"/>
      <c r="AU4" s="112"/>
      <c r="AV4" s="112"/>
      <c r="AW4" s="112"/>
      <c r="AX4" s="127"/>
      <c r="AY4" s="115" t="s">
        <v>214</v>
      </c>
      <c r="AZ4" s="124"/>
      <c r="BA4" s="124"/>
      <c r="BB4" s="115"/>
      <c r="BC4" s="129"/>
      <c r="BD4" s="130" t="s">
        <v>11</v>
      </c>
      <c r="BE4" s="130" t="s">
        <v>11</v>
      </c>
    </row>
    <row r="5" spans="1:57" s="111" customFormat="1" ht="18" customHeight="1">
      <c r="D5" s="112" t="s">
        <v>227</v>
      </c>
      <c r="H5" s="103" t="s">
        <v>216</v>
      </c>
      <c r="I5" s="112"/>
      <c r="J5" s="103"/>
      <c r="L5" s="123"/>
      <c r="M5" s="124" t="s">
        <v>217</v>
      </c>
      <c r="N5" s="124"/>
      <c r="O5" s="124"/>
      <c r="P5" s="125"/>
      <c r="Q5" s="124" t="s">
        <v>218</v>
      </c>
      <c r="R5" s="124"/>
      <c r="S5" s="115"/>
      <c r="T5" s="115"/>
      <c r="U5" s="123"/>
      <c r="V5" s="111">
        <v>2010</v>
      </c>
      <c r="X5" s="111" t="s">
        <v>219</v>
      </c>
      <c r="Y5" s="111" t="s">
        <v>13</v>
      </c>
      <c r="Z5" s="103" t="s">
        <v>14</v>
      </c>
      <c r="AA5" s="111" t="s">
        <v>14</v>
      </c>
      <c r="AB5" s="123"/>
      <c r="AC5" s="131"/>
      <c r="AD5" s="112" t="s">
        <v>220</v>
      </c>
      <c r="AE5" s="112"/>
      <c r="AI5" s="112" t="s">
        <v>221</v>
      </c>
      <c r="AK5" s="123"/>
      <c r="AM5" s="112"/>
      <c r="AN5" s="111" t="s">
        <v>222</v>
      </c>
      <c r="AP5" s="112"/>
      <c r="AR5" s="111" t="s">
        <v>223</v>
      </c>
      <c r="AU5" s="111" t="s">
        <v>224</v>
      </c>
      <c r="AX5" s="123"/>
      <c r="AY5" s="112" t="s">
        <v>225</v>
      </c>
      <c r="AZ5" s="115"/>
      <c r="BA5" s="124"/>
      <c r="BB5" s="124"/>
      <c r="BC5" s="132"/>
      <c r="BD5" s="133" t="s">
        <v>226</v>
      </c>
      <c r="BE5" s="133" t="s">
        <v>226</v>
      </c>
    </row>
    <row r="6" spans="1:57" s="111" customFormat="1" ht="18" customHeight="1">
      <c r="A6" s="124"/>
      <c r="B6" s="119">
        <v>2011</v>
      </c>
      <c r="C6" s="119">
        <v>2011</v>
      </c>
      <c r="E6" s="103" t="s">
        <v>228</v>
      </c>
      <c r="F6" s="112" t="s">
        <v>229</v>
      </c>
      <c r="G6" s="112"/>
      <c r="I6" s="112"/>
      <c r="J6" s="113" t="s">
        <v>11</v>
      </c>
      <c r="L6" s="123"/>
      <c r="M6" s="119" t="s">
        <v>230</v>
      </c>
      <c r="N6" s="134">
        <v>2011</v>
      </c>
      <c r="O6" s="124" t="s">
        <v>230</v>
      </c>
      <c r="P6" s="125"/>
      <c r="Q6" s="124" t="s">
        <v>230</v>
      </c>
      <c r="R6" s="124" t="s">
        <v>218</v>
      </c>
      <c r="S6" s="121" t="s">
        <v>11</v>
      </c>
      <c r="T6" s="115" t="s">
        <v>11</v>
      </c>
      <c r="U6" s="123"/>
      <c r="V6" s="111" t="s">
        <v>110</v>
      </c>
      <c r="X6" s="111" t="s">
        <v>19</v>
      </c>
      <c r="Y6" s="111" t="s">
        <v>49</v>
      </c>
      <c r="Z6" s="103" t="s">
        <v>23</v>
      </c>
      <c r="AA6" s="135" t="s">
        <v>112</v>
      </c>
      <c r="AB6" s="136"/>
      <c r="AC6" s="137"/>
      <c r="AD6" s="115" t="s">
        <v>231</v>
      </c>
      <c r="AE6" s="115"/>
      <c r="AI6" s="111" t="s">
        <v>232</v>
      </c>
      <c r="AK6" s="132"/>
      <c r="AL6" s="125"/>
      <c r="AP6" s="111" t="s">
        <v>23</v>
      </c>
      <c r="AR6" s="111" t="s">
        <v>233</v>
      </c>
      <c r="AS6" s="103" t="s">
        <v>233</v>
      </c>
      <c r="AT6" s="103" t="s">
        <v>234</v>
      </c>
      <c r="AU6" s="103" t="s">
        <v>234</v>
      </c>
      <c r="AV6" s="103" t="s">
        <v>235</v>
      </c>
      <c r="AW6" s="103" t="s">
        <v>236</v>
      </c>
      <c r="AX6" s="123"/>
      <c r="AY6" s="124" t="s">
        <v>237</v>
      </c>
      <c r="AZ6" s="124"/>
      <c r="BA6" s="124"/>
      <c r="BB6" s="124"/>
      <c r="BC6" s="132"/>
      <c r="BD6" s="130" t="s">
        <v>238</v>
      </c>
      <c r="BE6" s="130" t="s">
        <v>238</v>
      </c>
    </row>
    <row r="7" spans="1:57" s="111" customFormat="1" ht="18" customHeight="1">
      <c r="B7" s="111" t="s">
        <v>385</v>
      </c>
      <c r="E7" s="103" t="s">
        <v>239</v>
      </c>
      <c r="F7" s="111" t="s">
        <v>379</v>
      </c>
      <c r="I7" s="138"/>
      <c r="J7" s="112" t="s">
        <v>240</v>
      </c>
      <c r="L7" s="132"/>
      <c r="M7" s="134" t="s">
        <v>241</v>
      </c>
      <c r="N7" s="119" t="s">
        <v>23</v>
      </c>
      <c r="O7" s="139" t="s">
        <v>241</v>
      </c>
      <c r="P7" s="140" t="s">
        <v>242</v>
      </c>
      <c r="Q7" s="139" t="s">
        <v>243</v>
      </c>
      <c r="R7" s="124" t="s">
        <v>230</v>
      </c>
      <c r="S7" s="121" t="s">
        <v>241</v>
      </c>
      <c r="T7" s="115" t="s">
        <v>241</v>
      </c>
      <c r="U7" s="123"/>
      <c r="V7" s="135" t="s">
        <v>244</v>
      </c>
      <c r="W7" s="135"/>
      <c r="X7" s="135" t="s">
        <v>372</v>
      </c>
      <c r="Y7" s="141" t="s">
        <v>25</v>
      </c>
      <c r="Z7" s="103" t="s">
        <v>19</v>
      </c>
      <c r="AA7" s="103" t="s">
        <v>245</v>
      </c>
      <c r="AB7" s="123"/>
      <c r="AC7" s="131"/>
      <c r="AD7" s="135">
        <v>34</v>
      </c>
      <c r="AE7" s="135" t="s">
        <v>323</v>
      </c>
      <c r="AF7" s="111" t="s">
        <v>246</v>
      </c>
      <c r="AG7" s="124" t="s">
        <v>103</v>
      </c>
      <c r="AH7" s="124"/>
      <c r="AI7" s="119">
        <v>2011</v>
      </c>
      <c r="AJ7" s="124"/>
      <c r="AK7" s="123"/>
      <c r="AL7" s="103" t="s">
        <v>151</v>
      </c>
      <c r="AN7" s="111" t="s">
        <v>240</v>
      </c>
      <c r="AO7" s="103" t="s">
        <v>247</v>
      </c>
      <c r="AP7" s="111" t="s">
        <v>248</v>
      </c>
      <c r="AR7" s="111">
        <v>0.12</v>
      </c>
      <c r="AS7" s="103"/>
      <c r="AT7" s="103">
        <v>0.4</v>
      </c>
      <c r="AU7" s="103"/>
      <c r="AV7" s="103">
        <v>8.7999999999999995E-2</v>
      </c>
      <c r="AW7" s="103">
        <v>0.12</v>
      </c>
      <c r="AX7" s="123"/>
      <c r="AY7" s="119">
        <v>2011</v>
      </c>
      <c r="AZ7" s="139" t="s">
        <v>249</v>
      </c>
      <c r="BA7" s="124"/>
      <c r="BB7" s="124"/>
      <c r="BC7" s="132"/>
      <c r="BD7" s="133" t="s">
        <v>23</v>
      </c>
      <c r="BE7" s="133" t="s">
        <v>250</v>
      </c>
    </row>
    <row r="8" spans="1:57" s="111" customFormat="1" ht="18" customHeight="1">
      <c r="B8" s="142" t="s">
        <v>378</v>
      </c>
      <c r="C8" s="142" t="s">
        <v>378</v>
      </c>
      <c r="D8" s="142" t="s">
        <v>25</v>
      </c>
      <c r="E8" s="142" t="s">
        <v>26</v>
      </c>
      <c r="F8" s="142" t="s">
        <v>251</v>
      </c>
      <c r="G8" s="142">
        <v>2011</v>
      </c>
      <c r="H8" s="142" t="s">
        <v>25</v>
      </c>
      <c r="I8" s="142" t="s">
        <v>26</v>
      </c>
      <c r="J8" s="143" t="s">
        <v>25</v>
      </c>
      <c r="K8" s="143" t="s">
        <v>252</v>
      </c>
      <c r="L8" s="144"/>
      <c r="M8" s="134" t="s">
        <v>463</v>
      </c>
      <c r="N8" s="119">
        <v>0.75143000000000004</v>
      </c>
      <c r="O8" s="134" t="s">
        <v>26</v>
      </c>
      <c r="P8" s="119" t="s">
        <v>255</v>
      </c>
      <c r="Q8" s="124" t="s">
        <v>25</v>
      </c>
      <c r="R8" s="139" t="s">
        <v>243</v>
      </c>
      <c r="S8" s="145" t="s">
        <v>25</v>
      </c>
      <c r="T8" s="145" t="s">
        <v>26</v>
      </c>
      <c r="U8" s="144"/>
      <c r="V8" s="146" t="s">
        <v>256</v>
      </c>
      <c r="W8" s="146" t="s">
        <v>79</v>
      </c>
      <c r="X8" s="142" t="s">
        <v>25</v>
      </c>
      <c r="Y8" s="147">
        <v>176.8</v>
      </c>
      <c r="Z8" s="142" t="s">
        <v>25</v>
      </c>
      <c r="AA8" s="141" t="s">
        <v>252</v>
      </c>
      <c r="AB8" s="144"/>
      <c r="AC8" s="148"/>
      <c r="AD8" s="139" t="s">
        <v>257</v>
      </c>
      <c r="AE8" s="139" t="s">
        <v>69</v>
      </c>
      <c r="AF8" s="111" t="s">
        <v>258</v>
      </c>
      <c r="AG8" s="141" t="s">
        <v>26</v>
      </c>
      <c r="AH8" s="141"/>
      <c r="AI8" s="142" t="s">
        <v>25</v>
      </c>
      <c r="AJ8" s="141" t="s">
        <v>259</v>
      </c>
      <c r="AK8" s="144"/>
      <c r="AL8" s="103" t="s">
        <v>165</v>
      </c>
      <c r="AM8" s="103" t="s">
        <v>29</v>
      </c>
      <c r="AN8" s="141" t="s">
        <v>260</v>
      </c>
      <c r="AO8" s="142" t="s">
        <v>261</v>
      </c>
      <c r="AP8" s="141" t="s">
        <v>25</v>
      </c>
      <c r="AQ8" s="141" t="s">
        <v>26</v>
      </c>
      <c r="AR8" s="141" t="s">
        <v>25</v>
      </c>
      <c r="AS8" s="142" t="s">
        <v>262</v>
      </c>
      <c r="AT8" s="142" t="s">
        <v>25</v>
      </c>
      <c r="AU8" s="142" t="s">
        <v>262</v>
      </c>
      <c r="AV8" s="142" t="s">
        <v>25</v>
      </c>
      <c r="AW8" s="142" t="s">
        <v>25</v>
      </c>
      <c r="AX8" s="144"/>
      <c r="AY8" s="134" t="s">
        <v>263</v>
      </c>
      <c r="AZ8" s="103" t="s">
        <v>264</v>
      </c>
      <c r="BA8" s="134" t="s">
        <v>25</v>
      </c>
      <c r="BB8" s="134" t="s">
        <v>26</v>
      </c>
      <c r="BC8" s="149"/>
      <c r="BD8" s="150" t="s">
        <v>25</v>
      </c>
      <c r="BE8" s="151" t="s">
        <v>26</v>
      </c>
    </row>
    <row r="9" spans="1:57" s="111" customFormat="1" ht="18" customHeight="1">
      <c r="C9" s="119" t="s">
        <v>265</v>
      </c>
      <c r="D9" s="119">
        <v>308.26</v>
      </c>
      <c r="H9" s="113"/>
      <c r="I9" s="113"/>
      <c r="J9" s="103"/>
      <c r="L9" s="123"/>
      <c r="M9" s="121"/>
      <c r="N9" s="119" t="s">
        <v>25</v>
      </c>
      <c r="O9" s="121"/>
      <c r="P9" s="124"/>
      <c r="Q9" s="124" t="s">
        <v>254</v>
      </c>
      <c r="R9" s="124" t="s">
        <v>26</v>
      </c>
      <c r="S9" s="115"/>
      <c r="T9" s="115"/>
      <c r="U9" s="123"/>
      <c r="V9" s="111" t="s">
        <v>263</v>
      </c>
      <c r="W9" s="103" t="s">
        <v>69</v>
      </c>
      <c r="AB9" s="123"/>
      <c r="AC9" s="131"/>
      <c r="AD9" s="152"/>
      <c r="AE9" s="152"/>
      <c r="AF9" s="111" t="s">
        <v>266</v>
      </c>
      <c r="AJ9" s="141" t="s">
        <v>105</v>
      </c>
      <c r="AK9" s="123"/>
      <c r="AQ9" s="111" t="s">
        <v>267</v>
      </c>
      <c r="AS9" s="111" t="s">
        <v>267</v>
      </c>
      <c r="AU9" s="111" t="s">
        <v>267</v>
      </c>
      <c r="AX9" s="123"/>
      <c r="AY9" s="124"/>
      <c r="AZ9" s="124"/>
      <c r="BA9" s="119"/>
      <c r="BB9" s="119" t="s">
        <v>103</v>
      </c>
      <c r="BC9" s="132"/>
      <c r="BD9" s="115"/>
      <c r="BE9" s="112"/>
    </row>
    <row r="10" spans="1:57" ht="18" customHeight="1">
      <c r="A10" s="101" t="s">
        <v>31</v>
      </c>
      <c r="B10" s="101">
        <v>6.97</v>
      </c>
      <c r="C10" s="153">
        <f>SUM(B10/147.98)</f>
        <v>4.710095958913367E-2</v>
      </c>
      <c r="D10" s="154">
        <f>SUM(C10*308.26)</f>
        <v>14.519341802946345</v>
      </c>
      <c r="E10" s="155">
        <f>SUM(D10*0.72)/65</f>
        <v>0.16082963227879027</v>
      </c>
      <c r="F10" s="154">
        <f>SUM(C10*4596.3)</f>
        <v>216.49014055953509</v>
      </c>
      <c r="G10" s="154">
        <f>SUM(F10*0.99625)</f>
        <v>215.67830253243682</v>
      </c>
      <c r="H10" s="156">
        <f>SUM(G10*9.2)/2000</f>
        <v>0.99212019164920928</v>
      </c>
      <c r="I10" s="157">
        <f>SUM(H10*0.72)/65</f>
        <v>1.0989639045960471E-2</v>
      </c>
      <c r="J10" s="158">
        <f t="shared" ref="J10:J23" si="0">SUM(D10,H10)</f>
        <v>15.511461994595553</v>
      </c>
      <c r="K10" s="159">
        <f t="shared" ref="K10:K23" si="1">SUM(E10,I10)</f>
        <v>0.17181927132475075</v>
      </c>
      <c r="L10" s="160"/>
      <c r="M10" s="161">
        <v>25664.464374155199</v>
      </c>
      <c r="N10" s="60">
        <v>9.6424889692910138</v>
      </c>
      <c r="O10" s="86">
        <f>SUM(N10/214)</f>
        <v>4.5058359669584179E-2</v>
      </c>
      <c r="P10" s="60">
        <v>5.6</v>
      </c>
      <c r="Q10" s="60">
        <f>SUM(P10/100)*126.5*2.45*1.02</f>
        <v>17.702916000000002</v>
      </c>
      <c r="R10" s="86">
        <f>SUM(Q10/214)</f>
        <v>8.272390654205608E-2</v>
      </c>
      <c r="S10" s="68">
        <f>SUM(N10,Q10)</f>
        <v>27.345404969291017</v>
      </c>
      <c r="T10" s="70">
        <f>SUM(S10/214)</f>
        <v>0.12778226621164027</v>
      </c>
      <c r="U10" s="162"/>
      <c r="V10" s="163">
        <v>10</v>
      </c>
      <c r="W10" s="164">
        <f>SUM(V10/312)</f>
        <v>3.2051282051282048E-2</v>
      </c>
      <c r="X10" s="165">
        <f t="shared" ref="X10:X23" si="2">SUM(V10*176.18)/2000</f>
        <v>0.88090000000000013</v>
      </c>
      <c r="Y10" s="165">
        <f t="shared" ref="Y10:Y23" si="3">SUM(V10/5709)*176.8</f>
        <v>0.30968645997547734</v>
      </c>
      <c r="Z10" s="166">
        <f t="shared" ref="Z10:Z23" si="4">SUM(X10-Y10)</f>
        <v>0.57121354002452285</v>
      </c>
      <c r="AA10" s="159">
        <f>SUM(Z10/312)</f>
        <v>1.8308126282837271E-3</v>
      </c>
      <c r="AB10" s="162"/>
      <c r="AC10" s="101" t="s">
        <v>31</v>
      </c>
      <c r="AD10" s="167">
        <v>4</v>
      </c>
      <c r="AE10" s="168">
        <f>SUM(AD10/365)</f>
        <v>1.0958904109589041E-2</v>
      </c>
      <c r="AF10" s="166">
        <f>SUM(AD10*2.8)</f>
        <v>11.2</v>
      </c>
      <c r="AG10" s="159">
        <f>SUM(AF10/365)</f>
        <v>3.0684931506849315E-2</v>
      </c>
      <c r="AH10" s="164"/>
      <c r="AI10" s="166">
        <v>35.088349999999998</v>
      </c>
      <c r="AJ10" s="159">
        <v>2.2813013698630133E-2</v>
      </c>
      <c r="AK10" s="169"/>
      <c r="AL10" s="163">
        <v>38</v>
      </c>
      <c r="AM10" s="170">
        <f>SUM(AL10/4140)</f>
        <v>9.1787439613526568E-3</v>
      </c>
      <c r="AN10" s="171">
        <f>SUM(AM10*173136)</f>
        <v>1589.1710144927536</v>
      </c>
      <c r="AO10" s="171">
        <f>SUM(AN10/312)*1.4</f>
        <v>7.1308955778520984</v>
      </c>
      <c r="AP10" s="166">
        <f>SUM(AN10*6.2)/2000</f>
        <v>4.9264301449275365</v>
      </c>
      <c r="AQ10" s="159">
        <f>SUM(AP10/312)*1.4</f>
        <v>2.2105776291341507E-2</v>
      </c>
      <c r="AR10" s="166">
        <f>SUM(AN10*0.12)/2000</f>
        <v>9.5350260869565204E-2</v>
      </c>
      <c r="AS10" s="172">
        <f>SUM(AR10/312)*1.4</f>
        <v>4.2785373467112587E-4</v>
      </c>
      <c r="AT10" s="166">
        <f>SUM(AN10*0.4)/2000</f>
        <v>0.31783420289855074</v>
      </c>
      <c r="AU10" s="172">
        <f>SUM(AT10/312)*1.4</f>
        <v>1.4261791155704201E-3</v>
      </c>
      <c r="AV10" s="166">
        <f>SUM(AN10*0.088)/2000</f>
        <v>6.9923524637681159E-2</v>
      </c>
      <c r="AW10" s="166">
        <f>SUM(AN10*0.12)/2000</f>
        <v>9.5350260869565204E-2</v>
      </c>
      <c r="AX10" s="160"/>
      <c r="AY10" s="173">
        <v>6</v>
      </c>
      <c r="AZ10" s="174">
        <f>SUM(AY10/365)</f>
        <v>1.643835616438356E-2</v>
      </c>
      <c r="BA10" s="68">
        <f>SUM(AY10*28*3)/2000</f>
        <v>0.252</v>
      </c>
      <c r="BB10" s="175">
        <f>SUM(BA10/365)</f>
        <v>6.9041095890410957E-4</v>
      </c>
      <c r="BC10" s="176"/>
      <c r="BD10" s="177">
        <f t="shared" ref="BD10:BD23" si="5">SUM(J10,S10,Z10,AF10,AI10,AP10,BA10)</f>
        <v>94.894860648838616</v>
      </c>
      <c r="BE10" s="178">
        <f t="shared" ref="BE10:BE23" si="6">SUM(K10,T10,AA10,AG10,AJ10,AQ10,BB10)</f>
        <v>0.37772648262039982</v>
      </c>
    </row>
    <row r="11" spans="1:57" ht="18" customHeight="1">
      <c r="A11" s="101" t="s">
        <v>32</v>
      </c>
      <c r="B11" s="101">
        <v>5.0999999999999996</v>
      </c>
      <c r="C11" s="153">
        <f t="shared" ref="C11:C25" si="7">SUM(B11/147.98)</f>
        <v>3.4464116772536829E-2</v>
      </c>
      <c r="D11" s="154">
        <f t="shared" ref="D11:D25" si="8">SUM(C11*308.26)</f>
        <v>10.623908636302202</v>
      </c>
      <c r="E11" s="155">
        <f t="shared" ref="E11:E25" si="9">SUM(D11*0.72)/65</f>
        <v>0.11768021874057823</v>
      </c>
      <c r="F11" s="154">
        <f t="shared" ref="F11:F23" si="10">SUM(C11*4596.3)</f>
        <v>158.40741992161102</v>
      </c>
      <c r="G11" s="154">
        <f t="shared" ref="G11:G25" si="11">SUM(F11*0.99625)</f>
        <v>157.81339209690498</v>
      </c>
      <c r="H11" s="156">
        <f t="shared" ref="H11:H25" si="12">SUM(G11*9.2)/2000</f>
        <v>0.72594160364576288</v>
      </c>
      <c r="I11" s="157">
        <f t="shared" ref="I11:I25" si="13">SUM(H11*0.72)/65</f>
        <v>8.0411993019222968E-3</v>
      </c>
      <c r="J11" s="158">
        <f t="shared" si="0"/>
        <v>11.349850239947965</v>
      </c>
      <c r="K11" s="159">
        <f t="shared" si="1"/>
        <v>0.12572141804250053</v>
      </c>
      <c r="L11" s="160"/>
      <c r="M11" s="161">
        <v>23786.575414763101</v>
      </c>
      <c r="N11" s="60">
        <v>8.9369404991376129</v>
      </c>
      <c r="O11" s="86">
        <f t="shared" ref="O11:O28" si="14">SUM(N11/214)</f>
        <v>4.1761404201577632E-2</v>
      </c>
      <c r="P11" s="60">
        <v>2.5</v>
      </c>
      <c r="Q11" s="60">
        <f t="shared" ref="Q11:Q25" si="15">SUM(P11/100)*126.5*2.45*1.02</f>
        <v>7.9030875000000007</v>
      </c>
      <c r="R11" s="86">
        <f t="shared" ref="R11:R25" si="16">SUM(Q11/214)</f>
        <v>3.6930315420560751E-2</v>
      </c>
      <c r="S11" s="68">
        <f t="shared" ref="S11:S25" si="17">SUM(N11,Q11)</f>
        <v>16.840027999137615</v>
      </c>
      <c r="T11" s="70">
        <f t="shared" ref="T11:T25" si="18">SUM(S11/214)</f>
        <v>7.869171962213839E-2</v>
      </c>
      <c r="U11" s="162"/>
      <c r="V11" s="163">
        <v>2</v>
      </c>
      <c r="W11" s="164">
        <f t="shared" ref="W11:W25" si="19">SUM(V11/312)</f>
        <v>6.41025641025641E-3</v>
      </c>
      <c r="X11" s="165">
        <f t="shared" si="2"/>
        <v>0.17618</v>
      </c>
      <c r="Y11" s="165">
        <f t="shared" si="3"/>
        <v>6.193729199509547E-2</v>
      </c>
      <c r="Z11" s="166">
        <f t="shared" si="4"/>
        <v>0.11424270800490453</v>
      </c>
      <c r="AA11" s="159">
        <f t="shared" ref="AA11:AA25" si="20">SUM(Z11/312)</f>
        <v>3.661625256567453E-4</v>
      </c>
      <c r="AB11" s="162"/>
      <c r="AC11" s="101" t="s">
        <v>32</v>
      </c>
      <c r="AD11" s="167">
        <v>3</v>
      </c>
      <c r="AE11" s="168">
        <f t="shared" ref="AE11:AE25" si="21">SUM(AD11/365)</f>
        <v>8.21917808219178E-3</v>
      </c>
      <c r="AF11" s="166">
        <f t="shared" ref="AF11:AF25" si="22">SUM(AD11*2.8)</f>
        <v>8.3999999999999986</v>
      </c>
      <c r="AG11" s="159">
        <f t="shared" ref="AG11:AG25" si="23">SUM(AF11/365)</f>
        <v>2.3013698630136983E-2</v>
      </c>
      <c r="AH11" s="164"/>
      <c r="AI11" s="166">
        <v>1.1351</v>
      </c>
      <c r="AJ11" s="159">
        <v>4.6615068493150681E-3</v>
      </c>
      <c r="AK11" s="169"/>
      <c r="AL11" s="163">
        <v>97</v>
      </c>
      <c r="AM11" s="170">
        <f t="shared" ref="AM11:AM25" si="24">SUM(AL11/4140)</f>
        <v>2.3429951690821255E-2</v>
      </c>
      <c r="AN11" s="171">
        <f t="shared" ref="AN11:AN25" si="25">SUM(AM11*173136)</f>
        <v>4056.5681159420287</v>
      </c>
      <c r="AO11" s="171">
        <f t="shared" ref="AO11:AO23" si="26">SUM(AN11/312)*1.4</f>
        <v>18.20254923820141</v>
      </c>
      <c r="AP11" s="166">
        <f t="shared" ref="AP11:AP25" si="27">SUM(AN11*6.2)/2000</f>
        <v>12.575361159420289</v>
      </c>
      <c r="AQ11" s="159">
        <f t="shared" ref="AQ11:AQ25" si="28">SUM(AP11/312)*1.4</f>
        <v>5.6427902638424371E-2</v>
      </c>
      <c r="AR11" s="166">
        <f t="shared" ref="AR11:AR25" si="29">SUM(AN11*0.12)/2000</f>
        <v>0.2433940869565217</v>
      </c>
      <c r="AS11" s="172">
        <f t="shared" ref="AS11:AS25" si="30">SUM(AR11/312)*1.4</f>
        <v>1.0921529542920845E-3</v>
      </c>
      <c r="AT11" s="166">
        <f t="shared" ref="AT11:AT25" si="31">SUM(AN11*0.4)/2000</f>
        <v>0.81131362318840583</v>
      </c>
      <c r="AU11" s="172">
        <f t="shared" ref="AU11:AU25" si="32">SUM(AT11/312)*1.4</f>
        <v>3.6405098476402823E-3</v>
      </c>
      <c r="AV11" s="166">
        <f t="shared" ref="AV11:AV25" si="33">SUM(AN11*0.088)/2000</f>
        <v>0.17848899710144925</v>
      </c>
      <c r="AW11" s="166">
        <f t="shared" ref="AW11:AW25" si="34">SUM(AN11*0.12)/2000</f>
        <v>0.2433940869565217</v>
      </c>
      <c r="AX11" s="160"/>
      <c r="AY11" s="173">
        <v>8</v>
      </c>
      <c r="AZ11" s="174">
        <f t="shared" ref="AZ11:AZ18" si="35">SUM(AY11/365)</f>
        <v>2.1917808219178082E-2</v>
      </c>
      <c r="BA11" s="68">
        <f t="shared" ref="BA11:BA25" si="36">SUM(AY11*28*3)/2000</f>
        <v>0.33600000000000002</v>
      </c>
      <c r="BB11" s="175">
        <f t="shared" ref="BB11:BB25" si="37">SUM(BA11/365)</f>
        <v>9.205479452054795E-4</v>
      </c>
      <c r="BC11" s="176"/>
      <c r="BD11" s="177">
        <f t="shared" si="5"/>
        <v>50.750582106510777</v>
      </c>
      <c r="BE11" s="178">
        <f t="shared" si="6"/>
        <v>0.28980295625337754</v>
      </c>
    </row>
    <row r="12" spans="1:57" ht="18" customHeight="1">
      <c r="A12" s="101" t="s">
        <v>33</v>
      </c>
      <c r="B12" s="101">
        <v>12.61</v>
      </c>
      <c r="C12" s="153">
        <f t="shared" si="7"/>
        <v>8.5214218137586159E-2</v>
      </c>
      <c r="D12" s="154">
        <f t="shared" si="8"/>
        <v>26.268134883092308</v>
      </c>
      <c r="E12" s="155">
        <f t="shared" si="9"/>
        <v>0.29097010947425328</v>
      </c>
      <c r="F12" s="154">
        <f t="shared" si="10"/>
        <v>391.67011082578728</v>
      </c>
      <c r="G12" s="154">
        <f t="shared" si="11"/>
        <v>390.20134791019058</v>
      </c>
      <c r="H12" s="156">
        <f t="shared" si="12"/>
        <v>1.7949262003868764</v>
      </c>
      <c r="I12" s="157">
        <f t="shared" si="13"/>
        <v>1.9882259450439244E-2</v>
      </c>
      <c r="J12" s="158">
        <f t="shared" si="0"/>
        <v>28.063061083479184</v>
      </c>
      <c r="K12" s="159">
        <f t="shared" si="1"/>
        <v>0.31085236892469253</v>
      </c>
      <c r="L12" s="160"/>
      <c r="M12" s="161">
        <v>40028.262197403397</v>
      </c>
      <c r="N12" s="60">
        <v>15.039163532554959</v>
      </c>
      <c r="O12" s="86">
        <f t="shared" si="14"/>
        <v>7.0276465105397007E-2</v>
      </c>
      <c r="P12" s="60">
        <v>8.1999999999999993</v>
      </c>
      <c r="Q12" s="60">
        <f t="shared" si="15"/>
        <v>25.922127</v>
      </c>
      <c r="R12" s="86">
        <f t="shared" si="16"/>
        <v>0.12113143457943926</v>
      </c>
      <c r="S12" s="68">
        <f t="shared" si="17"/>
        <v>40.961290532554955</v>
      </c>
      <c r="T12" s="70">
        <f t="shared" si="18"/>
        <v>0.19140789968483624</v>
      </c>
      <c r="U12" s="162"/>
      <c r="V12" s="163">
        <v>831</v>
      </c>
      <c r="W12" s="164">
        <f t="shared" si="19"/>
        <v>2.6634615384615383</v>
      </c>
      <c r="X12" s="165">
        <f t="shared" si="2"/>
        <v>73.202790000000007</v>
      </c>
      <c r="Y12" s="165">
        <f t="shared" si="3"/>
        <v>25.734944823962163</v>
      </c>
      <c r="Z12" s="166">
        <f t="shared" si="4"/>
        <v>47.467845176037841</v>
      </c>
      <c r="AA12" s="159">
        <f t="shared" si="20"/>
        <v>0.1521405294103777</v>
      </c>
      <c r="AB12" s="162"/>
      <c r="AC12" s="101" t="s">
        <v>33</v>
      </c>
      <c r="AD12" s="167">
        <v>3</v>
      </c>
      <c r="AE12" s="168">
        <f t="shared" si="21"/>
        <v>8.21917808219178E-3</v>
      </c>
      <c r="AF12" s="166">
        <f t="shared" si="22"/>
        <v>8.3999999999999986</v>
      </c>
      <c r="AG12" s="159">
        <f t="shared" si="23"/>
        <v>2.3013698630136983E-2</v>
      </c>
      <c r="AH12" s="164"/>
      <c r="AI12" s="166">
        <v>9.5875500000000002</v>
      </c>
      <c r="AJ12" s="159">
        <v>0.12343123287671233</v>
      </c>
      <c r="AK12" s="169"/>
      <c r="AL12" s="163">
        <v>286</v>
      </c>
      <c r="AM12" s="170">
        <f t="shared" si="24"/>
        <v>6.908212560386473E-2</v>
      </c>
      <c r="AN12" s="171">
        <f t="shared" si="25"/>
        <v>11960.602898550724</v>
      </c>
      <c r="AO12" s="171">
        <f t="shared" si="26"/>
        <v>53.669371980676324</v>
      </c>
      <c r="AP12" s="166">
        <f t="shared" si="27"/>
        <v>37.077868985507244</v>
      </c>
      <c r="AQ12" s="159">
        <f t="shared" si="28"/>
        <v>0.1663750531400966</v>
      </c>
      <c r="AR12" s="166">
        <f t="shared" si="29"/>
        <v>0.71763617391304346</v>
      </c>
      <c r="AS12" s="172">
        <f t="shared" si="30"/>
        <v>3.2201623188405793E-3</v>
      </c>
      <c r="AT12" s="166">
        <f t="shared" si="31"/>
        <v>2.3921205797101446</v>
      </c>
      <c r="AU12" s="172">
        <f t="shared" si="32"/>
        <v>1.0733874396135264E-2</v>
      </c>
      <c r="AV12" s="166">
        <f t="shared" si="33"/>
        <v>0.52626652753623182</v>
      </c>
      <c r="AW12" s="166">
        <f t="shared" si="34"/>
        <v>0.71763617391304346</v>
      </c>
      <c r="AX12" s="160"/>
      <c r="AY12" s="173">
        <v>15</v>
      </c>
      <c r="AZ12" s="174">
        <f t="shared" si="35"/>
        <v>4.1095890410958902E-2</v>
      </c>
      <c r="BA12" s="68">
        <f t="shared" si="36"/>
        <v>0.63</v>
      </c>
      <c r="BB12" s="175">
        <f t="shared" si="37"/>
        <v>1.7260273972602739E-3</v>
      </c>
      <c r="BC12" s="176"/>
      <c r="BD12" s="177">
        <f t="shared" si="5"/>
        <v>172.18761577757923</v>
      </c>
      <c r="BE12" s="178">
        <f t="shared" si="6"/>
        <v>0.96894681006411265</v>
      </c>
    </row>
    <row r="13" spans="1:57" ht="18" customHeight="1">
      <c r="A13" s="101" t="s">
        <v>34</v>
      </c>
      <c r="B13" s="101">
        <v>0.28000000000000003</v>
      </c>
      <c r="C13" s="153">
        <f t="shared" si="7"/>
        <v>1.8921475875118261E-3</v>
      </c>
      <c r="D13" s="154">
        <f t="shared" si="8"/>
        <v>0.58327341532639554</v>
      </c>
      <c r="E13" s="155">
        <f t="shared" si="9"/>
        <v>6.4608747543846894E-3</v>
      </c>
      <c r="F13" s="154">
        <f t="shared" si="10"/>
        <v>8.6968779564806074</v>
      </c>
      <c r="G13" s="154">
        <f t="shared" si="11"/>
        <v>8.6642646641438041</v>
      </c>
      <c r="H13" s="156">
        <f t="shared" si="12"/>
        <v>3.9855617455061498E-2</v>
      </c>
      <c r="I13" s="157">
        <f t="shared" si="13"/>
        <v>4.4147760873298889E-4</v>
      </c>
      <c r="J13" s="158">
        <f t="shared" si="0"/>
        <v>0.62312903278145704</v>
      </c>
      <c r="K13" s="159">
        <f t="shared" si="1"/>
        <v>6.9023523631176779E-3</v>
      </c>
      <c r="L13" s="160"/>
      <c r="M13" s="161">
        <v>2130.12498057435</v>
      </c>
      <c r="N13" s="60">
        <v>0.80031698027890419</v>
      </c>
      <c r="O13" s="174">
        <f t="shared" si="14"/>
        <v>3.7397989732659074E-3</v>
      </c>
      <c r="P13" s="60">
        <v>0.6</v>
      </c>
      <c r="Q13" s="60">
        <f t="shared" si="15"/>
        <v>1.8967410000000002</v>
      </c>
      <c r="R13" s="86">
        <f t="shared" si="16"/>
        <v>8.8632757009345798E-3</v>
      </c>
      <c r="S13" s="68">
        <f t="shared" si="17"/>
        <v>2.6970579802789043</v>
      </c>
      <c r="T13" s="70">
        <f t="shared" si="18"/>
        <v>1.2603074674200488E-2</v>
      </c>
      <c r="U13" s="162"/>
      <c r="V13" s="163">
        <v>50</v>
      </c>
      <c r="W13" s="164">
        <f t="shared" si="19"/>
        <v>0.16025641025641027</v>
      </c>
      <c r="X13" s="165">
        <f t="shared" si="2"/>
        <v>4.4044999999999996</v>
      </c>
      <c r="Y13" s="165">
        <f t="shared" si="3"/>
        <v>1.5484322998773867</v>
      </c>
      <c r="Z13" s="166">
        <f t="shared" si="4"/>
        <v>2.8560677001226127</v>
      </c>
      <c r="AA13" s="159">
        <f t="shared" si="20"/>
        <v>9.1540631414186308E-3</v>
      </c>
      <c r="AB13" s="162"/>
      <c r="AC13" s="101" t="s">
        <v>34</v>
      </c>
      <c r="AD13" s="167">
        <v>0</v>
      </c>
      <c r="AE13" s="168">
        <f t="shared" si="21"/>
        <v>0</v>
      </c>
      <c r="AF13" s="166">
        <f t="shared" si="22"/>
        <v>0</v>
      </c>
      <c r="AG13" s="159">
        <f t="shared" si="23"/>
        <v>0</v>
      </c>
      <c r="AH13" s="164"/>
      <c r="AI13" s="166">
        <v>2.1407500000000002</v>
      </c>
      <c r="AJ13" s="159">
        <v>3.4041095890410956E-3</v>
      </c>
      <c r="AK13" s="169"/>
      <c r="AL13" s="163">
        <v>10</v>
      </c>
      <c r="AM13" s="170">
        <f t="shared" si="24"/>
        <v>2.4154589371980675E-3</v>
      </c>
      <c r="AN13" s="171">
        <f t="shared" si="25"/>
        <v>418.20289855072463</v>
      </c>
      <c r="AO13" s="171">
        <f t="shared" si="26"/>
        <v>1.8765514678558153</v>
      </c>
      <c r="AP13" s="166">
        <f t="shared" si="27"/>
        <v>1.2964289855072464</v>
      </c>
      <c r="AQ13" s="159">
        <f t="shared" si="28"/>
        <v>5.8173095503530284E-3</v>
      </c>
      <c r="AR13" s="166">
        <f t="shared" si="29"/>
        <v>2.5092173913043476E-2</v>
      </c>
      <c r="AS13" s="172">
        <f t="shared" si="30"/>
        <v>1.1259308807134893E-4</v>
      </c>
      <c r="AT13" s="166">
        <f t="shared" si="31"/>
        <v>8.3640579710144936E-2</v>
      </c>
      <c r="AU13" s="172">
        <f t="shared" si="32"/>
        <v>3.7531029357116316E-4</v>
      </c>
      <c r="AV13" s="166">
        <f t="shared" si="33"/>
        <v>1.8400927536231883E-2</v>
      </c>
      <c r="AW13" s="166">
        <f t="shared" si="34"/>
        <v>2.5092173913043476E-2</v>
      </c>
      <c r="AX13" s="160"/>
      <c r="AY13" s="173">
        <v>1</v>
      </c>
      <c r="AZ13" s="174">
        <f t="shared" si="35"/>
        <v>2.7397260273972603E-3</v>
      </c>
      <c r="BA13" s="68">
        <f t="shared" si="36"/>
        <v>4.2000000000000003E-2</v>
      </c>
      <c r="BB13" s="175">
        <f t="shared" si="37"/>
        <v>1.1506849315068494E-4</v>
      </c>
      <c r="BC13" s="176"/>
      <c r="BD13" s="177">
        <f t="shared" si="5"/>
        <v>9.6554336986902207</v>
      </c>
      <c r="BE13" s="178">
        <f t="shared" si="6"/>
        <v>3.7995977811281598E-2</v>
      </c>
    </row>
    <row r="14" spans="1:57" ht="18" customHeight="1">
      <c r="A14" s="101" t="s">
        <v>35</v>
      </c>
      <c r="B14" s="101">
        <v>16.64</v>
      </c>
      <c r="C14" s="153">
        <f t="shared" si="7"/>
        <v>0.11244762805784567</v>
      </c>
      <c r="D14" s="154">
        <f t="shared" si="8"/>
        <v>34.663105825111501</v>
      </c>
      <c r="E14" s="155">
        <f t="shared" si="9"/>
        <v>0.38396055683200431</v>
      </c>
      <c r="F14" s="154">
        <f t="shared" si="10"/>
        <v>516.8430328422761</v>
      </c>
      <c r="G14" s="154">
        <f t="shared" si="11"/>
        <v>514.90487146911755</v>
      </c>
      <c r="H14" s="156">
        <f t="shared" si="12"/>
        <v>2.3685624087579402</v>
      </c>
      <c r="I14" s="157">
        <f t="shared" si="13"/>
        <v>2.6236383604703338E-2</v>
      </c>
      <c r="J14" s="158">
        <f t="shared" si="0"/>
        <v>37.031668233869439</v>
      </c>
      <c r="K14" s="159">
        <f t="shared" si="1"/>
        <v>0.41019694043670762</v>
      </c>
      <c r="L14" s="160"/>
      <c r="M14" s="161">
        <v>25315.684158592201</v>
      </c>
      <c r="N14" s="60">
        <v>9.5114474898257395</v>
      </c>
      <c r="O14" s="86">
        <f t="shared" si="14"/>
        <v>4.4446016307596911E-2</v>
      </c>
      <c r="P14" s="60">
        <v>11</v>
      </c>
      <c r="Q14" s="60">
        <f t="shared" si="15"/>
        <v>34.773585000000004</v>
      </c>
      <c r="R14" s="86">
        <f t="shared" si="16"/>
        <v>0.1624933878504673</v>
      </c>
      <c r="S14" s="68">
        <f t="shared" si="17"/>
        <v>44.285032489825745</v>
      </c>
      <c r="T14" s="70">
        <f t="shared" si="18"/>
        <v>0.20693940415806422</v>
      </c>
      <c r="U14" s="162"/>
      <c r="V14" s="163">
        <v>999</v>
      </c>
      <c r="W14" s="164">
        <f t="shared" si="19"/>
        <v>3.2019230769230771</v>
      </c>
      <c r="X14" s="165">
        <f t="shared" si="2"/>
        <v>88.001910000000009</v>
      </c>
      <c r="Y14" s="165">
        <f t="shared" si="3"/>
        <v>30.937677351550185</v>
      </c>
      <c r="Z14" s="166">
        <f t="shared" si="4"/>
        <v>57.064232648449824</v>
      </c>
      <c r="AA14" s="159">
        <f t="shared" si="20"/>
        <v>0.1828981815655443</v>
      </c>
      <c r="AB14" s="162"/>
      <c r="AC14" s="101" t="s">
        <v>35</v>
      </c>
      <c r="AD14" s="167">
        <v>7</v>
      </c>
      <c r="AE14" s="168">
        <f t="shared" si="21"/>
        <v>1.9178082191780823E-2</v>
      </c>
      <c r="AF14" s="166">
        <f t="shared" si="22"/>
        <v>19.599999999999998</v>
      </c>
      <c r="AG14" s="159">
        <f t="shared" si="23"/>
        <v>5.3698630136986295E-2</v>
      </c>
      <c r="AH14" s="164"/>
      <c r="AI14" s="166">
        <v>40.120324999999994</v>
      </c>
      <c r="AJ14" s="159">
        <v>4.1529863013698633E-2</v>
      </c>
      <c r="AK14" s="169"/>
      <c r="AL14" s="163">
        <v>315</v>
      </c>
      <c r="AM14" s="170">
        <f t="shared" si="24"/>
        <v>7.6086956521739135E-2</v>
      </c>
      <c r="AN14" s="171">
        <f t="shared" si="25"/>
        <v>13173.391304347828</v>
      </c>
      <c r="AO14" s="171">
        <f t="shared" si="26"/>
        <v>59.111371237458194</v>
      </c>
      <c r="AP14" s="166">
        <f t="shared" si="27"/>
        <v>40.837513043478268</v>
      </c>
      <c r="AQ14" s="159">
        <f t="shared" si="28"/>
        <v>0.18324525083612042</v>
      </c>
      <c r="AR14" s="166">
        <f t="shared" si="29"/>
        <v>0.79040347826086965</v>
      </c>
      <c r="AS14" s="172">
        <f t="shared" si="30"/>
        <v>3.5466822742474917E-3</v>
      </c>
      <c r="AT14" s="166">
        <f t="shared" si="31"/>
        <v>2.6346782608695656</v>
      </c>
      <c r="AU14" s="172">
        <f t="shared" si="32"/>
        <v>1.1822274247491641E-2</v>
      </c>
      <c r="AV14" s="166">
        <f t="shared" si="33"/>
        <v>0.57962921739130435</v>
      </c>
      <c r="AW14" s="166">
        <f t="shared" si="34"/>
        <v>0.79040347826086965</v>
      </c>
      <c r="AX14" s="160"/>
      <c r="AY14" s="173">
        <v>26</v>
      </c>
      <c r="AZ14" s="174">
        <f t="shared" si="35"/>
        <v>7.1232876712328766E-2</v>
      </c>
      <c r="BA14" s="68">
        <f t="shared" si="36"/>
        <v>1.0920000000000001</v>
      </c>
      <c r="BB14" s="175">
        <f t="shared" si="37"/>
        <v>2.9917808219178084E-3</v>
      </c>
      <c r="BC14" s="176"/>
      <c r="BD14" s="177">
        <f t="shared" si="5"/>
        <v>240.03077141562332</v>
      </c>
      <c r="BE14" s="178">
        <f t="shared" si="6"/>
        <v>1.0815000509690391</v>
      </c>
    </row>
    <row r="15" spans="1:57" ht="18" customHeight="1">
      <c r="A15" s="101" t="s">
        <v>36</v>
      </c>
      <c r="B15" s="101">
        <v>3.56</v>
      </c>
      <c r="C15" s="153">
        <f t="shared" si="7"/>
        <v>2.4057305041221787E-2</v>
      </c>
      <c r="D15" s="154">
        <f t="shared" si="8"/>
        <v>7.4159048520070279</v>
      </c>
      <c r="E15" s="155">
        <f t="shared" si="9"/>
        <v>8.2145407591462452E-2</v>
      </c>
      <c r="F15" s="154">
        <f t="shared" si="10"/>
        <v>110.5745911609677</v>
      </c>
      <c r="G15" s="154">
        <f t="shared" si="11"/>
        <v>110.15993644411407</v>
      </c>
      <c r="H15" s="156">
        <f t="shared" si="12"/>
        <v>0.50673570764292475</v>
      </c>
      <c r="I15" s="157">
        <f t="shared" si="13"/>
        <v>5.6130724538908583E-3</v>
      </c>
      <c r="J15" s="158">
        <f t="shared" si="0"/>
        <v>7.9226405596499525</v>
      </c>
      <c r="K15" s="159">
        <f t="shared" si="1"/>
        <v>8.7758480045353304E-2</v>
      </c>
      <c r="L15" s="160"/>
      <c r="M15" s="161">
        <v>64775.257207369599</v>
      </c>
      <c r="N15" s="60">
        <v>24.336946760285137</v>
      </c>
      <c r="O15" s="86">
        <f t="shared" si="14"/>
        <v>0.11372405028170625</v>
      </c>
      <c r="P15" s="60">
        <v>1.2</v>
      </c>
      <c r="Q15" s="60">
        <f t="shared" si="15"/>
        <v>3.7934820000000005</v>
      </c>
      <c r="R15" s="86">
        <f t="shared" si="16"/>
        <v>1.772655140186916E-2</v>
      </c>
      <c r="S15" s="68">
        <f t="shared" si="17"/>
        <v>28.130428760285138</v>
      </c>
      <c r="T15" s="70">
        <f t="shared" si="18"/>
        <v>0.13145060168357542</v>
      </c>
      <c r="U15" s="162"/>
      <c r="V15" s="163">
        <v>10</v>
      </c>
      <c r="W15" s="164">
        <f t="shared" si="19"/>
        <v>3.2051282051282048E-2</v>
      </c>
      <c r="X15" s="165">
        <f t="shared" si="2"/>
        <v>0.88090000000000013</v>
      </c>
      <c r="Y15" s="165">
        <f t="shared" si="3"/>
        <v>0.30968645997547734</v>
      </c>
      <c r="Z15" s="166">
        <f t="shared" si="4"/>
        <v>0.57121354002452285</v>
      </c>
      <c r="AA15" s="159">
        <f t="shared" si="20"/>
        <v>1.8308126282837271E-3</v>
      </c>
      <c r="AB15" s="162"/>
      <c r="AC15" s="101" t="s">
        <v>36</v>
      </c>
      <c r="AD15" s="167">
        <v>2</v>
      </c>
      <c r="AE15" s="168">
        <f t="shared" si="21"/>
        <v>5.4794520547945206E-3</v>
      </c>
      <c r="AF15" s="166">
        <f t="shared" si="22"/>
        <v>5.6</v>
      </c>
      <c r="AG15" s="159">
        <f t="shared" si="23"/>
        <v>1.5342465753424657E-2</v>
      </c>
      <c r="AH15" s="164"/>
      <c r="AI15" s="166">
        <v>3.8030375000000003</v>
      </c>
      <c r="AJ15" s="159">
        <v>2.9109589041095892E-3</v>
      </c>
      <c r="AK15" s="169"/>
      <c r="AL15" s="163">
        <v>38</v>
      </c>
      <c r="AM15" s="170">
        <f t="shared" si="24"/>
        <v>9.1787439613526568E-3</v>
      </c>
      <c r="AN15" s="171">
        <f t="shared" si="25"/>
        <v>1589.1710144927536</v>
      </c>
      <c r="AO15" s="171">
        <f t="shared" si="26"/>
        <v>7.1308955778520984</v>
      </c>
      <c r="AP15" s="166">
        <f t="shared" si="27"/>
        <v>4.9264301449275365</v>
      </c>
      <c r="AQ15" s="159">
        <f t="shared" si="28"/>
        <v>2.2105776291341507E-2</v>
      </c>
      <c r="AR15" s="166">
        <f t="shared" si="29"/>
        <v>9.5350260869565204E-2</v>
      </c>
      <c r="AS15" s="172">
        <f t="shared" si="30"/>
        <v>4.2785373467112587E-4</v>
      </c>
      <c r="AT15" s="166">
        <f t="shared" si="31"/>
        <v>0.31783420289855074</v>
      </c>
      <c r="AU15" s="172">
        <f t="shared" si="32"/>
        <v>1.4261791155704201E-3</v>
      </c>
      <c r="AV15" s="166">
        <f t="shared" si="33"/>
        <v>6.9923524637681159E-2</v>
      </c>
      <c r="AW15" s="166">
        <f t="shared" si="34"/>
        <v>9.5350260869565204E-2</v>
      </c>
      <c r="AX15" s="160"/>
      <c r="AY15" s="173">
        <v>3</v>
      </c>
      <c r="AZ15" s="174">
        <f t="shared" si="35"/>
        <v>8.21917808219178E-3</v>
      </c>
      <c r="BA15" s="68">
        <f t="shared" si="36"/>
        <v>0.126</v>
      </c>
      <c r="BB15" s="175">
        <f t="shared" si="37"/>
        <v>3.4520547945205479E-4</v>
      </c>
      <c r="BC15" s="176"/>
      <c r="BD15" s="177">
        <f t="shared" si="5"/>
        <v>51.079750504887151</v>
      </c>
      <c r="BE15" s="178">
        <f t="shared" si="6"/>
        <v>0.26174430078554023</v>
      </c>
    </row>
    <row r="16" spans="1:57" ht="18" customHeight="1">
      <c r="A16" s="101" t="s">
        <v>37</v>
      </c>
      <c r="B16" s="101">
        <v>10.46</v>
      </c>
      <c r="C16" s="153">
        <f t="shared" si="7"/>
        <v>7.0685227733477504E-2</v>
      </c>
      <c r="D16" s="154">
        <f t="shared" si="8"/>
        <v>21.789428301121774</v>
      </c>
      <c r="E16" s="155">
        <f t="shared" si="9"/>
        <v>0.24135982118165655</v>
      </c>
      <c r="F16" s="154">
        <f t="shared" si="10"/>
        <v>324.89051223138267</v>
      </c>
      <c r="G16" s="154">
        <f t="shared" si="11"/>
        <v>323.67217281051495</v>
      </c>
      <c r="H16" s="156">
        <f t="shared" si="12"/>
        <v>1.4888919949283685</v>
      </c>
      <c r="I16" s="157">
        <f t="shared" si="13"/>
        <v>1.6492342097668082E-2</v>
      </c>
      <c r="J16" s="158">
        <f t="shared" si="0"/>
        <v>23.278320296050143</v>
      </c>
      <c r="K16" s="159">
        <f t="shared" si="1"/>
        <v>0.25785216327932464</v>
      </c>
      <c r="L16" s="160"/>
      <c r="M16" s="161">
        <v>21105.031685285099</v>
      </c>
      <c r="N16" s="60">
        <v>7.9294479812652527</v>
      </c>
      <c r="O16" s="86">
        <f t="shared" si="14"/>
        <v>3.7053495239557255E-2</v>
      </c>
      <c r="P16" s="60">
        <v>7.1</v>
      </c>
      <c r="Q16" s="60">
        <f t="shared" si="15"/>
        <v>22.444768499999999</v>
      </c>
      <c r="R16" s="86">
        <f t="shared" si="16"/>
        <v>0.10488209579439252</v>
      </c>
      <c r="S16" s="68">
        <f t="shared" si="17"/>
        <v>30.37421648126525</v>
      </c>
      <c r="T16" s="70">
        <f t="shared" si="18"/>
        <v>0.14193559103394976</v>
      </c>
      <c r="U16" s="162"/>
      <c r="V16" s="163">
        <v>383</v>
      </c>
      <c r="W16" s="164">
        <f t="shared" si="19"/>
        <v>1.2275641025641026</v>
      </c>
      <c r="X16" s="165">
        <f t="shared" si="2"/>
        <v>33.73847</v>
      </c>
      <c r="Y16" s="165">
        <f t="shared" si="3"/>
        <v>11.860991417060783</v>
      </c>
      <c r="Z16" s="166">
        <f t="shared" si="4"/>
        <v>21.877478582939219</v>
      </c>
      <c r="AA16" s="159">
        <f t="shared" si="20"/>
        <v>7.0120123663266726E-2</v>
      </c>
      <c r="AB16" s="162"/>
      <c r="AC16" s="101" t="s">
        <v>37</v>
      </c>
      <c r="AD16" s="167">
        <v>0</v>
      </c>
      <c r="AE16" s="168">
        <f t="shared" si="21"/>
        <v>0</v>
      </c>
      <c r="AF16" s="166">
        <f t="shared" si="22"/>
        <v>0</v>
      </c>
      <c r="AG16" s="159">
        <f t="shared" si="23"/>
        <v>0</v>
      </c>
      <c r="AH16" s="164"/>
      <c r="AI16" s="166">
        <v>8.8047749999999994</v>
      </c>
      <c r="AJ16" s="159">
        <v>0.18546767123287669</v>
      </c>
      <c r="AK16" s="169"/>
      <c r="AL16" s="163">
        <v>589</v>
      </c>
      <c r="AM16" s="170">
        <f t="shared" si="24"/>
        <v>0.14227053140096618</v>
      </c>
      <c r="AN16" s="171">
        <f t="shared" si="25"/>
        <v>24632.150724637682</v>
      </c>
      <c r="AO16" s="171">
        <f t="shared" si="26"/>
        <v>110.52888145670754</v>
      </c>
      <c r="AP16" s="166">
        <f t="shared" si="27"/>
        <v>76.359667246376816</v>
      </c>
      <c r="AQ16" s="159">
        <f t="shared" si="28"/>
        <v>0.34263953251579338</v>
      </c>
      <c r="AR16" s="166">
        <f t="shared" si="29"/>
        <v>1.4779290434782608</v>
      </c>
      <c r="AS16" s="172">
        <f t="shared" si="30"/>
        <v>6.6317328874024523E-3</v>
      </c>
      <c r="AT16" s="166">
        <f t="shared" si="31"/>
        <v>4.9264301449275374</v>
      </c>
      <c r="AU16" s="172">
        <f t="shared" si="32"/>
        <v>2.2105776291341511E-2</v>
      </c>
      <c r="AV16" s="166">
        <f t="shared" si="33"/>
        <v>1.083814631884058</v>
      </c>
      <c r="AW16" s="166">
        <f t="shared" si="34"/>
        <v>1.4779290434782608</v>
      </c>
      <c r="AX16" s="160"/>
      <c r="AY16" s="173">
        <v>28</v>
      </c>
      <c r="AZ16" s="174">
        <f t="shared" si="35"/>
        <v>7.6712328767123292E-2</v>
      </c>
      <c r="BA16" s="68">
        <f t="shared" si="36"/>
        <v>1.1759999999999999</v>
      </c>
      <c r="BB16" s="175">
        <f t="shared" si="37"/>
        <v>3.2219178082191777E-3</v>
      </c>
      <c r="BC16" s="176"/>
      <c r="BD16" s="177">
        <f t="shared" si="5"/>
        <v>161.87045760663142</v>
      </c>
      <c r="BE16" s="178">
        <f t="shared" si="6"/>
        <v>1.0012369995334303</v>
      </c>
    </row>
    <row r="17" spans="1:57" ht="18" customHeight="1">
      <c r="A17" s="101" t="s">
        <v>38</v>
      </c>
      <c r="B17" s="101">
        <v>4.55</v>
      </c>
      <c r="C17" s="153">
        <f t="shared" si="7"/>
        <v>3.0747398297067172E-2</v>
      </c>
      <c r="D17" s="154">
        <f t="shared" si="8"/>
        <v>9.4781929990539258</v>
      </c>
      <c r="E17" s="155">
        <f t="shared" si="9"/>
        <v>0.10498921475875117</v>
      </c>
      <c r="F17" s="154">
        <f t="shared" si="10"/>
        <v>141.32426679280985</v>
      </c>
      <c r="G17" s="154">
        <f t="shared" si="11"/>
        <v>140.7943007923368</v>
      </c>
      <c r="H17" s="156">
        <f t="shared" si="12"/>
        <v>0.64765378364474924</v>
      </c>
      <c r="I17" s="157">
        <f t="shared" si="13"/>
        <v>7.1740111419110681E-3</v>
      </c>
      <c r="J17" s="158">
        <f t="shared" si="0"/>
        <v>10.125846782698675</v>
      </c>
      <c r="K17" s="159">
        <f t="shared" si="1"/>
        <v>0.11216322590066224</v>
      </c>
      <c r="L17" s="160"/>
      <c r="M17" s="161">
        <v>67030.254690175498</v>
      </c>
      <c r="N17" s="60">
        <v>25.184180041164804</v>
      </c>
      <c r="O17" s="86">
        <f t="shared" si="14"/>
        <v>0.11768308430450843</v>
      </c>
      <c r="P17" s="60">
        <v>2.2000000000000002</v>
      </c>
      <c r="Q17" s="60">
        <f t="shared" si="15"/>
        <v>6.9547170000000014</v>
      </c>
      <c r="R17" s="86">
        <f t="shared" si="16"/>
        <v>3.2498677570093462E-2</v>
      </c>
      <c r="S17" s="68">
        <f t="shared" si="17"/>
        <v>32.138897041164803</v>
      </c>
      <c r="T17" s="70">
        <f t="shared" si="18"/>
        <v>0.15018176187460189</v>
      </c>
      <c r="U17" s="162"/>
      <c r="V17" s="163">
        <v>56</v>
      </c>
      <c r="W17" s="164">
        <f t="shared" si="19"/>
        <v>0.17948717948717949</v>
      </c>
      <c r="X17" s="165">
        <f t="shared" si="2"/>
        <v>4.9330400000000001</v>
      </c>
      <c r="Y17" s="165">
        <f t="shared" si="3"/>
        <v>1.734244175862673</v>
      </c>
      <c r="Z17" s="166">
        <f t="shared" si="4"/>
        <v>3.1987958241373269</v>
      </c>
      <c r="AA17" s="159">
        <f t="shared" si="20"/>
        <v>1.0252550718388868E-2</v>
      </c>
      <c r="AB17" s="162"/>
      <c r="AC17" s="101" t="s">
        <v>38</v>
      </c>
      <c r="AD17" s="167">
        <v>1</v>
      </c>
      <c r="AE17" s="168">
        <f t="shared" si="21"/>
        <v>2.7397260273972603E-3</v>
      </c>
      <c r="AF17" s="166">
        <f t="shared" si="22"/>
        <v>2.8</v>
      </c>
      <c r="AG17" s="159">
        <f t="shared" si="23"/>
        <v>7.6712328767123287E-3</v>
      </c>
      <c r="AH17" s="164"/>
      <c r="AI17" s="166">
        <v>2.4816000000000003</v>
      </c>
      <c r="AJ17" s="159">
        <v>1.3913561643835616E-2</v>
      </c>
      <c r="AK17" s="169"/>
      <c r="AL17" s="163">
        <v>62</v>
      </c>
      <c r="AM17" s="170">
        <f t="shared" si="24"/>
        <v>1.4975845410628019E-2</v>
      </c>
      <c r="AN17" s="171">
        <f t="shared" si="25"/>
        <v>2592.8579710144927</v>
      </c>
      <c r="AO17" s="171">
        <f t="shared" si="26"/>
        <v>11.634619100706056</v>
      </c>
      <c r="AP17" s="166">
        <f t="shared" si="27"/>
        <v>8.037859710144927</v>
      </c>
      <c r="AQ17" s="159">
        <f t="shared" si="28"/>
        <v>3.6067319212188774E-2</v>
      </c>
      <c r="AR17" s="166">
        <f t="shared" si="29"/>
        <v>0.15557147826086956</v>
      </c>
      <c r="AS17" s="172">
        <f t="shared" si="30"/>
        <v>6.9807714604236339E-4</v>
      </c>
      <c r="AT17" s="166">
        <f t="shared" si="31"/>
        <v>0.51857159420289856</v>
      </c>
      <c r="AU17" s="172">
        <f t="shared" si="32"/>
        <v>2.3269238201412113E-3</v>
      </c>
      <c r="AV17" s="166">
        <f t="shared" si="33"/>
        <v>0.11408575072463768</v>
      </c>
      <c r="AW17" s="166">
        <f t="shared" si="34"/>
        <v>0.15557147826086956</v>
      </c>
      <c r="AX17" s="160"/>
      <c r="AY17" s="173">
        <v>7</v>
      </c>
      <c r="AZ17" s="174">
        <f t="shared" si="35"/>
        <v>1.9178082191780823E-2</v>
      </c>
      <c r="BA17" s="68">
        <f t="shared" si="36"/>
        <v>0.29399999999999998</v>
      </c>
      <c r="BB17" s="175">
        <f t="shared" si="37"/>
        <v>8.0547945205479443E-4</v>
      </c>
      <c r="BC17" s="176"/>
      <c r="BD17" s="177">
        <f t="shared" si="5"/>
        <v>59.076999358145727</v>
      </c>
      <c r="BE17" s="178">
        <f t="shared" si="6"/>
        <v>0.33105513167844453</v>
      </c>
    </row>
    <row r="18" spans="1:57" ht="18" customHeight="1">
      <c r="A18" s="101" t="s">
        <v>39</v>
      </c>
      <c r="B18" s="101">
        <v>31.37</v>
      </c>
      <c r="C18" s="153">
        <f t="shared" si="7"/>
        <v>0.21198810650087851</v>
      </c>
      <c r="D18" s="154">
        <f t="shared" si="8"/>
        <v>65.347453709960803</v>
      </c>
      <c r="E18" s="155">
        <f t="shared" si="9"/>
        <v>0.7238487180180273</v>
      </c>
      <c r="F18" s="154">
        <f t="shared" si="10"/>
        <v>974.36093390998792</v>
      </c>
      <c r="G18" s="154">
        <f t="shared" si="11"/>
        <v>970.7070804078254</v>
      </c>
      <c r="H18" s="156">
        <f t="shared" si="12"/>
        <v>4.4652525698759966</v>
      </c>
      <c r="I18" s="157">
        <f t="shared" si="13"/>
        <v>4.9461259235549497E-2</v>
      </c>
      <c r="J18" s="158">
        <f t="shared" si="0"/>
        <v>69.812706279836803</v>
      </c>
      <c r="K18" s="159">
        <f t="shared" si="1"/>
        <v>0.77330997725357675</v>
      </c>
      <c r="L18" s="160"/>
      <c r="M18" s="161">
        <v>32124.8810796855</v>
      </c>
      <c r="N18" s="60">
        <v>12.069755555178991</v>
      </c>
      <c r="O18" s="86">
        <f t="shared" si="14"/>
        <v>5.6400726893359773E-2</v>
      </c>
      <c r="P18" s="60">
        <v>22</v>
      </c>
      <c r="Q18" s="60">
        <f t="shared" si="15"/>
        <v>69.547170000000008</v>
      </c>
      <c r="R18" s="86">
        <f t="shared" si="16"/>
        <v>0.32498677570093459</v>
      </c>
      <c r="S18" s="68">
        <f t="shared" si="17"/>
        <v>81.616925555178995</v>
      </c>
      <c r="T18" s="70">
        <f t="shared" si="18"/>
        <v>0.38138750259429438</v>
      </c>
      <c r="U18" s="162"/>
      <c r="V18" s="163">
        <v>1196</v>
      </c>
      <c r="W18" s="164">
        <f t="shared" si="19"/>
        <v>3.8333333333333335</v>
      </c>
      <c r="X18" s="165">
        <f t="shared" si="2"/>
        <v>105.35563999999999</v>
      </c>
      <c r="Y18" s="165">
        <f t="shared" si="3"/>
        <v>37.038500613067086</v>
      </c>
      <c r="Z18" s="166">
        <f t="shared" si="4"/>
        <v>68.317139386932908</v>
      </c>
      <c r="AA18" s="159">
        <f t="shared" si="20"/>
        <v>0.21896519034273368</v>
      </c>
      <c r="AB18" s="162"/>
      <c r="AC18" s="101" t="s">
        <v>39</v>
      </c>
      <c r="AD18" s="167">
        <v>6</v>
      </c>
      <c r="AE18" s="168">
        <f t="shared" si="21"/>
        <v>1.643835616438356E-2</v>
      </c>
      <c r="AF18" s="166">
        <f t="shared" si="22"/>
        <v>16.799999999999997</v>
      </c>
      <c r="AG18" s="159">
        <f t="shared" si="23"/>
        <v>4.6027397260273967E-2</v>
      </c>
      <c r="AH18" s="164"/>
      <c r="AI18" s="166">
        <v>15.799174999999998</v>
      </c>
      <c r="AJ18" s="159">
        <v>6.6412602739726018E-2</v>
      </c>
      <c r="AK18" s="169"/>
      <c r="AL18" s="163">
        <v>714</v>
      </c>
      <c r="AM18" s="170">
        <f t="shared" si="24"/>
        <v>0.17246376811594202</v>
      </c>
      <c r="AN18" s="171">
        <f t="shared" si="25"/>
        <v>29859.686956521738</v>
      </c>
      <c r="AO18" s="171">
        <f t="shared" si="26"/>
        <v>133.98577480490525</v>
      </c>
      <c r="AP18" s="166">
        <f t="shared" si="27"/>
        <v>92.565029565217401</v>
      </c>
      <c r="AQ18" s="159">
        <f t="shared" si="28"/>
        <v>0.41535590189520627</v>
      </c>
      <c r="AR18" s="166">
        <f t="shared" si="29"/>
        <v>1.7915812173913044</v>
      </c>
      <c r="AS18" s="172">
        <f t="shared" si="30"/>
        <v>8.0391464882943152E-3</v>
      </c>
      <c r="AT18" s="166">
        <f t="shared" si="31"/>
        <v>5.9719373913043485</v>
      </c>
      <c r="AU18" s="172">
        <f t="shared" si="32"/>
        <v>2.6797154960981048E-2</v>
      </c>
      <c r="AV18" s="166">
        <f t="shared" si="33"/>
        <v>1.3138262260869564</v>
      </c>
      <c r="AW18" s="166">
        <f t="shared" si="34"/>
        <v>1.7915812173913044</v>
      </c>
      <c r="AX18" s="160"/>
      <c r="AY18" s="173">
        <v>70</v>
      </c>
      <c r="AZ18" s="174">
        <f t="shared" si="35"/>
        <v>0.19178082191780821</v>
      </c>
      <c r="BA18" s="68">
        <f t="shared" si="36"/>
        <v>2.94</v>
      </c>
      <c r="BB18" s="175">
        <f t="shared" si="37"/>
        <v>8.0547945205479456E-3</v>
      </c>
      <c r="BC18" s="176"/>
      <c r="BD18" s="177">
        <f t="shared" si="5"/>
        <v>347.85097578716613</v>
      </c>
      <c r="BE18" s="178">
        <f t="shared" si="6"/>
        <v>1.9095133666063591</v>
      </c>
    </row>
    <row r="19" spans="1:57" ht="18" customHeight="1">
      <c r="A19" s="101" t="s">
        <v>40</v>
      </c>
      <c r="B19" s="101">
        <v>0.16</v>
      </c>
      <c r="C19" s="153">
        <f t="shared" si="7"/>
        <v>1.0812271928639006E-3</v>
      </c>
      <c r="D19" s="154">
        <f t="shared" si="8"/>
        <v>0.333299094472226</v>
      </c>
      <c r="E19" s="155">
        <f t="shared" si="9"/>
        <v>3.6919284310769646E-3</v>
      </c>
      <c r="F19" s="154">
        <f t="shared" si="10"/>
        <v>4.969644546560346</v>
      </c>
      <c r="G19" s="154">
        <f t="shared" si="11"/>
        <v>4.9510083795107445</v>
      </c>
      <c r="H19" s="156">
        <f t="shared" si="12"/>
        <v>2.2774638545749421E-2</v>
      </c>
      <c r="I19" s="157">
        <f t="shared" si="13"/>
        <v>2.522729192759936E-4</v>
      </c>
      <c r="J19" s="158">
        <f t="shared" si="0"/>
        <v>0.3560737330179754</v>
      </c>
      <c r="K19" s="159">
        <f t="shared" si="1"/>
        <v>3.9442013503529581E-3</v>
      </c>
      <c r="L19" s="160"/>
      <c r="M19" s="161">
        <v>1217.4634030280499</v>
      </c>
      <c r="N19" s="60">
        <v>0.4574175896706163</v>
      </c>
      <c r="O19" s="86">
        <f t="shared" si="14"/>
        <v>2.1374653722925994E-3</v>
      </c>
      <c r="P19" s="60">
        <v>0.4</v>
      </c>
      <c r="Q19" s="60">
        <f t="shared" si="15"/>
        <v>1.264494</v>
      </c>
      <c r="R19" s="86">
        <f t="shared" si="16"/>
        <v>5.9088504672897193E-3</v>
      </c>
      <c r="S19" s="68">
        <f t="shared" si="17"/>
        <v>1.7219115896706163</v>
      </c>
      <c r="T19" s="70">
        <f t="shared" si="18"/>
        <v>8.0463158395823187E-3</v>
      </c>
      <c r="U19" s="162"/>
      <c r="V19" s="163">
        <v>5</v>
      </c>
      <c r="W19" s="164">
        <f t="shared" si="19"/>
        <v>1.6025641025641024E-2</v>
      </c>
      <c r="X19" s="165">
        <f t="shared" si="2"/>
        <v>0.44045000000000006</v>
      </c>
      <c r="Y19" s="165">
        <f t="shared" si="3"/>
        <v>0.15484322998773867</v>
      </c>
      <c r="Z19" s="166">
        <f t="shared" si="4"/>
        <v>0.28560677001226142</v>
      </c>
      <c r="AA19" s="159">
        <f t="shared" si="20"/>
        <v>9.1540631414186357E-4</v>
      </c>
      <c r="AB19" s="162"/>
      <c r="AC19" s="101" t="s">
        <v>40</v>
      </c>
      <c r="AD19" s="167">
        <v>1</v>
      </c>
      <c r="AE19" s="168">
        <f t="shared" si="21"/>
        <v>2.7397260273972603E-3</v>
      </c>
      <c r="AF19" s="166">
        <f t="shared" si="22"/>
        <v>2.8</v>
      </c>
      <c r="AG19" s="159">
        <f t="shared" si="23"/>
        <v>7.6712328767123287E-3</v>
      </c>
      <c r="AH19" s="164"/>
      <c r="AI19" s="166">
        <v>0.24274999999999999</v>
      </c>
      <c r="AJ19" s="159">
        <v>0</v>
      </c>
      <c r="AK19" s="169"/>
      <c r="AL19" s="163">
        <v>0</v>
      </c>
      <c r="AM19" s="170">
        <f t="shared" si="24"/>
        <v>0</v>
      </c>
      <c r="AN19" s="171">
        <f t="shared" si="25"/>
        <v>0</v>
      </c>
      <c r="AO19" s="171">
        <f t="shared" si="26"/>
        <v>0</v>
      </c>
      <c r="AP19" s="166">
        <f t="shared" si="27"/>
        <v>0</v>
      </c>
      <c r="AQ19" s="159">
        <f t="shared" si="28"/>
        <v>0</v>
      </c>
      <c r="AR19" s="166">
        <f t="shared" si="29"/>
        <v>0</v>
      </c>
      <c r="AS19" s="172">
        <f t="shared" si="30"/>
        <v>0</v>
      </c>
      <c r="AT19" s="166">
        <f t="shared" si="31"/>
        <v>0</v>
      </c>
      <c r="AU19" s="172">
        <f t="shared" si="32"/>
        <v>0</v>
      </c>
      <c r="AV19" s="166">
        <f t="shared" si="33"/>
        <v>0</v>
      </c>
      <c r="AW19" s="166">
        <f t="shared" si="34"/>
        <v>0</v>
      </c>
      <c r="AX19" s="160"/>
      <c r="AY19" s="75">
        <v>0</v>
      </c>
      <c r="AZ19" s="174">
        <f>SUM(AY20/365)</f>
        <v>4.9315068493150684E-2</v>
      </c>
      <c r="BA19" s="68">
        <f>SUM(AY20*28*3)/2000</f>
        <v>0.75600000000000001</v>
      </c>
      <c r="BB19" s="175">
        <f t="shared" si="37"/>
        <v>2.0712328767123287E-3</v>
      </c>
      <c r="BC19" s="176"/>
      <c r="BD19" s="177">
        <f t="shared" si="5"/>
        <v>6.162342092700853</v>
      </c>
      <c r="BE19" s="178">
        <f t="shared" si="6"/>
        <v>2.2648389257501796E-2</v>
      </c>
    </row>
    <row r="20" spans="1:57" ht="18" customHeight="1">
      <c r="A20" s="101" t="s">
        <v>41</v>
      </c>
      <c r="B20" s="101">
        <v>17.36</v>
      </c>
      <c r="C20" s="153">
        <f t="shared" si="7"/>
        <v>0.11731315042573322</v>
      </c>
      <c r="D20" s="154">
        <f t="shared" si="8"/>
        <v>36.162951750236523</v>
      </c>
      <c r="E20" s="155">
        <f t="shared" si="9"/>
        <v>0.40057423477185067</v>
      </c>
      <c r="F20" s="154">
        <f t="shared" si="10"/>
        <v>539.20643330179757</v>
      </c>
      <c r="G20" s="154">
        <f t="shared" si="11"/>
        <v>537.18440917691578</v>
      </c>
      <c r="H20" s="156">
        <f t="shared" si="12"/>
        <v>2.4710482822138125</v>
      </c>
      <c r="I20" s="157">
        <f t="shared" si="13"/>
        <v>2.7371611741445305E-2</v>
      </c>
      <c r="J20" s="158">
        <f t="shared" si="0"/>
        <v>38.634000032450338</v>
      </c>
      <c r="K20" s="159">
        <f t="shared" si="1"/>
        <v>0.42794584651329598</v>
      </c>
      <c r="L20" s="160"/>
      <c r="M20" s="161">
        <v>8824.88379995787</v>
      </c>
      <c r="N20" s="60">
        <v>3.3156290914865343</v>
      </c>
      <c r="O20" s="86">
        <f t="shared" si="14"/>
        <v>1.5493593885451094E-2</v>
      </c>
      <c r="P20" s="60">
        <v>9.6999999999999993</v>
      </c>
      <c r="Q20" s="60">
        <f t="shared" si="15"/>
        <v>30.663979499999996</v>
      </c>
      <c r="R20" s="86">
        <f t="shared" si="16"/>
        <v>0.14328962383177568</v>
      </c>
      <c r="S20" s="68">
        <f t="shared" si="17"/>
        <v>33.979608591486532</v>
      </c>
      <c r="T20" s="70">
        <f t="shared" si="18"/>
        <v>0.15878321771722678</v>
      </c>
      <c r="U20" s="162"/>
      <c r="V20" s="163">
        <v>504</v>
      </c>
      <c r="W20" s="164">
        <f t="shared" si="19"/>
        <v>1.6153846153846154</v>
      </c>
      <c r="X20" s="165">
        <f t="shared" si="2"/>
        <v>44.397359999999999</v>
      </c>
      <c r="Y20" s="165">
        <f t="shared" si="3"/>
        <v>15.608197582764058</v>
      </c>
      <c r="Z20" s="166">
        <f t="shared" si="4"/>
        <v>28.789162417235943</v>
      </c>
      <c r="AA20" s="159">
        <f t="shared" si="20"/>
        <v>9.2272956465499822E-2</v>
      </c>
      <c r="AB20" s="162"/>
      <c r="AC20" s="101" t="s">
        <v>41</v>
      </c>
      <c r="AD20" s="167">
        <v>2</v>
      </c>
      <c r="AE20" s="168">
        <f t="shared" si="21"/>
        <v>5.4794520547945206E-3</v>
      </c>
      <c r="AF20" s="166">
        <f t="shared" si="22"/>
        <v>5.6</v>
      </c>
      <c r="AG20" s="159">
        <f t="shared" si="23"/>
        <v>1.5342465753424657E-2</v>
      </c>
      <c r="AH20" s="164"/>
      <c r="AI20" s="166">
        <v>6.3227499999999992</v>
      </c>
      <c r="AJ20" s="159">
        <v>0.17742972602739726</v>
      </c>
      <c r="AK20" s="169"/>
      <c r="AL20" s="163">
        <v>400</v>
      </c>
      <c r="AM20" s="170">
        <f t="shared" si="24"/>
        <v>9.6618357487922704E-2</v>
      </c>
      <c r="AN20" s="171">
        <f t="shared" si="25"/>
        <v>16728.115942028984</v>
      </c>
      <c r="AO20" s="171">
        <f t="shared" si="26"/>
        <v>75.06205871423262</v>
      </c>
      <c r="AP20" s="166">
        <f t="shared" si="27"/>
        <v>51.857159420289854</v>
      </c>
      <c r="AQ20" s="159">
        <f t="shared" si="28"/>
        <v>0.23269238201412112</v>
      </c>
      <c r="AR20" s="166">
        <f t="shared" si="29"/>
        <v>1.003686956521739</v>
      </c>
      <c r="AS20" s="172">
        <f t="shared" si="30"/>
        <v>4.5037235228539575E-3</v>
      </c>
      <c r="AT20" s="166">
        <f t="shared" si="31"/>
        <v>3.345623188405797</v>
      </c>
      <c r="AU20" s="172">
        <f t="shared" si="32"/>
        <v>1.5012411742846525E-2</v>
      </c>
      <c r="AV20" s="166">
        <f t="shared" si="33"/>
        <v>0.73603710144927526</v>
      </c>
      <c r="AW20" s="166">
        <f t="shared" si="34"/>
        <v>1.003686956521739</v>
      </c>
      <c r="AX20" s="160"/>
      <c r="AY20" s="173">
        <v>18</v>
      </c>
      <c r="AZ20" s="174">
        <f>SUM(AY21/365)</f>
        <v>3.8356164383561646E-2</v>
      </c>
      <c r="BA20" s="68">
        <f>SUM(AY21*28*3)/2000</f>
        <v>0.58799999999999997</v>
      </c>
      <c r="BB20" s="175">
        <f t="shared" si="37"/>
        <v>1.6109589041095889E-3</v>
      </c>
      <c r="BC20" s="176"/>
      <c r="BD20" s="177">
        <f t="shared" si="5"/>
        <v>165.77068046146266</v>
      </c>
      <c r="BE20" s="178">
        <f t="shared" si="6"/>
        <v>1.1060775533950753</v>
      </c>
    </row>
    <row r="21" spans="1:57" ht="18" customHeight="1">
      <c r="A21" s="101" t="s">
        <v>42</v>
      </c>
      <c r="B21" s="101">
        <v>10.59</v>
      </c>
      <c r="C21" s="153">
        <f t="shared" si="7"/>
        <v>7.156372482767942E-2</v>
      </c>
      <c r="D21" s="154">
        <f t="shared" si="8"/>
        <v>22.060233815380457</v>
      </c>
      <c r="E21" s="155">
        <f t="shared" si="9"/>
        <v>0.24435951303190659</v>
      </c>
      <c r="F21" s="154">
        <f t="shared" si="10"/>
        <v>328.92834842546296</v>
      </c>
      <c r="G21" s="154">
        <f t="shared" si="11"/>
        <v>327.69486711886748</v>
      </c>
      <c r="H21" s="156">
        <f t="shared" si="12"/>
        <v>1.5073963887467903</v>
      </c>
      <c r="I21" s="157">
        <f t="shared" si="13"/>
        <v>1.6697313844579832E-2</v>
      </c>
      <c r="J21" s="158">
        <f t="shared" si="0"/>
        <v>23.567630204127248</v>
      </c>
      <c r="K21" s="159">
        <f t="shared" si="1"/>
        <v>0.2610568268764864</v>
      </c>
      <c r="L21" s="160"/>
      <c r="M21" s="161">
        <v>250105.05218036499</v>
      </c>
      <c r="N21" s="60">
        <v>93.967876034915577</v>
      </c>
      <c r="O21" s="86">
        <f t="shared" si="14"/>
        <v>0.4391022244622223</v>
      </c>
      <c r="P21" s="60">
        <v>6.9</v>
      </c>
      <c r="Q21" s="60">
        <f t="shared" si="15"/>
        <v>21.812521500000003</v>
      </c>
      <c r="R21" s="86">
        <f t="shared" si="16"/>
        <v>0.10192767056074768</v>
      </c>
      <c r="S21" s="68">
        <f t="shared" si="17"/>
        <v>115.78039753491558</v>
      </c>
      <c r="T21" s="70">
        <f t="shared" si="18"/>
        <v>0.54102989502296994</v>
      </c>
      <c r="U21" s="162"/>
      <c r="V21" s="163">
        <v>448</v>
      </c>
      <c r="W21" s="164">
        <f t="shared" si="19"/>
        <v>1.4358974358974359</v>
      </c>
      <c r="X21" s="165">
        <f t="shared" si="2"/>
        <v>39.464320000000001</v>
      </c>
      <c r="Y21" s="165">
        <f t="shared" si="3"/>
        <v>13.873953406901384</v>
      </c>
      <c r="Z21" s="166">
        <f t="shared" si="4"/>
        <v>25.590366593098615</v>
      </c>
      <c r="AA21" s="70">
        <f t="shared" si="20"/>
        <v>8.2020405747110947E-2</v>
      </c>
      <c r="AB21" s="162"/>
      <c r="AC21" s="101" t="s">
        <v>42</v>
      </c>
      <c r="AD21" s="167">
        <v>2</v>
      </c>
      <c r="AE21" s="168">
        <f t="shared" si="21"/>
        <v>5.4794520547945206E-3</v>
      </c>
      <c r="AF21" s="166">
        <f t="shared" si="22"/>
        <v>5.6</v>
      </c>
      <c r="AG21" s="159">
        <f t="shared" si="23"/>
        <v>1.5342465753424657E-2</v>
      </c>
      <c r="AH21" s="164"/>
      <c r="AI21" s="166">
        <v>3.4917499999999997</v>
      </c>
      <c r="AJ21" s="159">
        <v>8.6859863013698621E-2</v>
      </c>
      <c r="AK21" s="169"/>
      <c r="AL21" s="163">
        <v>796</v>
      </c>
      <c r="AM21" s="170">
        <f t="shared" si="24"/>
        <v>0.19227053140096617</v>
      </c>
      <c r="AN21" s="171">
        <f t="shared" si="25"/>
        <v>33288.950724637682</v>
      </c>
      <c r="AO21" s="171">
        <f t="shared" si="26"/>
        <v>149.37349684132292</v>
      </c>
      <c r="AP21" s="166">
        <f t="shared" si="27"/>
        <v>103.19574724637683</v>
      </c>
      <c r="AQ21" s="159">
        <f t="shared" si="28"/>
        <v>0.46305784020810115</v>
      </c>
      <c r="AR21" s="166">
        <f t="shared" si="29"/>
        <v>1.9973370434782607</v>
      </c>
      <c r="AS21" s="172">
        <f t="shared" si="30"/>
        <v>8.9624098104793739E-3</v>
      </c>
      <c r="AT21" s="166">
        <f t="shared" si="31"/>
        <v>6.657790144927537</v>
      </c>
      <c r="AU21" s="172">
        <f t="shared" si="32"/>
        <v>2.9874699368264587E-2</v>
      </c>
      <c r="AV21" s="166">
        <f t="shared" si="33"/>
        <v>1.464713831884058</v>
      </c>
      <c r="AW21" s="166">
        <f t="shared" si="34"/>
        <v>1.9973370434782607</v>
      </c>
      <c r="AX21" s="160"/>
      <c r="AY21" s="173">
        <v>14</v>
      </c>
      <c r="AZ21" s="174">
        <f>SUM(AY22/365)</f>
        <v>6.8493150684931503E-2</v>
      </c>
      <c r="BA21" s="68">
        <f>SUM(AY22*28*3)/2000</f>
        <v>1.05</v>
      </c>
      <c r="BB21" s="175">
        <f t="shared" si="37"/>
        <v>2.8767123287671234E-3</v>
      </c>
      <c r="BC21" s="176"/>
      <c r="BD21" s="177">
        <f t="shared" si="5"/>
        <v>278.27589157851827</v>
      </c>
      <c r="BE21" s="178">
        <f t="shared" si="6"/>
        <v>1.4522440089505588</v>
      </c>
    </row>
    <row r="22" spans="1:57" ht="18" customHeight="1">
      <c r="A22" s="101" t="s">
        <v>43</v>
      </c>
      <c r="B22" s="101">
        <v>7.51</v>
      </c>
      <c r="C22" s="153">
        <f t="shared" si="7"/>
        <v>5.075010136504933E-2</v>
      </c>
      <c r="D22" s="154">
        <f t="shared" si="8"/>
        <v>15.644226246790106</v>
      </c>
      <c r="E22" s="155">
        <f t="shared" si="9"/>
        <v>0.17328989073367501</v>
      </c>
      <c r="F22" s="154">
        <f t="shared" si="10"/>
        <v>233.26269090417625</v>
      </c>
      <c r="G22" s="154">
        <f t="shared" si="11"/>
        <v>232.38795581328557</v>
      </c>
      <c r="H22" s="156">
        <f t="shared" si="12"/>
        <v>1.0689845967411136</v>
      </c>
      <c r="I22" s="157">
        <f t="shared" si="13"/>
        <v>1.1841060148516951E-2</v>
      </c>
      <c r="J22" s="158">
        <f t="shared" si="0"/>
        <v>16.713210843531218</v>
      </c>
      <c r="K22" s="159">
        <f t="shared" si="1"/>
        <v>0.18513095088219197</v>
      </c>
      <c r="L22" s="160"/>
      <c r="M22" s="161">
        <v>9.0972918371111593</v>
      </c>
      <c r="N22" s="60">
        <v>3.4179765028761896E-3</v>
      </c>
      <c r="O22" s="86">
        <f t="shared" si="14"/>
        <v>1.5971852817178455E-5</v>
      </c>
      <c r="P22" s="60">
        <v>11.2</v>
      </c>
      <c r="Q22" s="60">
        <f t="shared" si="15"/>
        <v>35.405832000000004</v>
      </c>
      <c r="R22" s="86">
        <f t="shared" si="16"/>
        <v>0.16544781308411216</v>
      </c>
      <c r="S22" s="68">
        <f t="shared" si="17"/>
        <v>35.409249976502878</v>
      </c>
      <c r="T22" s="70">
        <f t="shared" si="18"/>
        <v>0.16546378493692934</v>
      </c>
      <c r="U22" s="162"/>
      <c r="V22" s="163">
        <v>955</v>
      </c>
      <c r="W22" s="164">
        <f t="shared" si="19"/>
        <v>3.0608974358974357</v>
      </c>
      <c r="X22" s="165">
        <f t="shared" si="2"/>
        <v>84.125950000000003</v>
      </c>
      <c r="Y22" s="165">
        <f t="shared" si="3"/>
        <v>29.575056927658082</v>
      </c>
      <c r="Z22" s="166">
        <f t="shared" si="4"/>
        <v>54.550893072341921</v>
      </c>
      <c r="AA22" s="159">
        <f t="shared" si="20"/>
        <v>0.17484260600109591</v>
      </c>
      <c r="AB22" s="162"/>
      <c r="AC22" s="101" t="s">
        <v>43</v>
      </c>
      <c r="AD22" s="167">
        <v>2</v>
      </c>
      <c r="AE22" s="168">
        <f>SUM(AD22/365)</f>
        <v>5.4794520547945206E-3</v>
      </c>
      <c r="AF22" s="166">
        <f t="shared" si="22"/>
        <v>5.6</v>
      </c>
      <c r="AG22" s="159">
        <f t="shared" si="23"/>
        <v>1.5342465753424657E-2</v>
      </c>
      <c r="AH22" s="164"/>
      <c r="AI22" s="166">
        <v>18.316649999999999</v>
      </c>
      <c r="AJ22" s="159">
        <v>6.960739726027397E-2</v>
      </c>
      <c r="AK22" s="169"/>
      <c r="AL22" s="163">
        <v>302</v>
      </c>
      <c r="AM22" s="170">
        <f t="shared" si="24"/>
        <v>7.2946859903381636E-2</v>
      </c>
      <c r="AN22" s="171">
        <f t="shared" si="25"/>
        <v>12629.727536231883</v>
      </c>
      <c r="AO22" s="171">
        <f t="shared" si="26"/>
        <v>56.671854329245626</v>
      </c>
      <c r="AP22" s="166">
        <f t="shared" si="27"/>
        <v>39.152155362318837</v>
      </c>
      <c r="AQ22" s="159">
        <f t="shared" si="28"/>
        <v>0.17568274842066145</v>
      </c>
      <c r="AR22" s="166">
        <f t="shared" si="29"/>
        <v>0.75778365217391297</v>
      </c>
      <c r="AS22" s="172">
        <f t="shared" si="30"/>
        <v>3.4003112597547377E-3</v>
      </c>
      <c r="AT22" s="166">
        <f t="shared" si="31"/>
        <v>2.525945507246377</v>
      </c>
      <c r="AU22" s="172">
        <f t="shared" si="32"/>
        <v>1.1334370865849127E-2</v>
      </c>
      <c r="AV22" s="166">
        <f t="shared" si="33"/>
        <v>0.5557080115942028</v>
      </c>
      <c r="AW22" s="166">
        <f t="shared" si="34"/>
        <v>0.75778365217391297</v>
      </c>
      <c r="AX22" s="160"/>
      <c r="AY22" s="173">
        <v>25</v>
      </c>
      <c r="AZ22" s="174">
        <f>SUM(AY23/365)</f>
        <v>8.2191780821917804E-2</v>
      </c>
      <c r="BA22" s="68">
        <f>SUM(AY23*28*3)/2000</f>
        <v>1.26</v>
      </c>
      <c r="BB22" s="175">
        <f t="shared" si="37"/>
        <v>3.4520547945205479E-3</v>
      </c>
      <c r="BC22" s="176"/>
      <c r="BD22" s="177">
        <f t="shared" si="5"/>
        <v>171.00215925469485</v>
      </c>
      <c r="BE22" s="178">
        <f t="shared" si="6"/>
        <v>0.78952200804909789</v>
      </c>
    </row>
    <row r="23" spans="1:57" ht="18" customHeight="1">
      <c r="A23" s="101" t="s">
        <v>117</v>
      </c>
      <c r="B23" s="101">
        <v>20.82</v>
      </c>
      <c r="C23" s="153">
        <f t="shared" si="7"/>
        <v>0.14069468847141506</v>
      </c>
      <c r="D23" s="154">
        <f t="shared" si="8"/>
        <v>43.370544668198406</v>
      </c>
      <c r="E23" s="155">
        <f t="shared" si="9"/>
        <v>0.48041218709389</v>
      </c>
      <c r="F23" s="154">
        <f t="shared" si="10"/>
        <v>646.67499662116506</v>
      </c>
      <c r="G23" s="154">
        <f t="shared" si="11"/>
        <v>644.24996538383573</v>
      </c>
      <c r="H23" s="156">
        <f t="shared" si="12"/>
        <v>2.9635498407656442</v>
      </c>
      <c r="I23" s="157">
        <f t="shared" si="13"/>
        <v>3.2827013620788673E-2</v>
      </c>
      <c r="J23" s="158">
        <f t="shared" si="0"/>
        <v>46.33409450896405</v>
      </c>
      <c r="K23" s="159">
        <f t="shared" si="1"/>
        <v>0.51323920071467866</v>
      </c>
      <c r="L23" s="160"/>
      <c r="M23" s="179">
        <v>100958.686814527</v>
      </c>
      <c r="N23" s="60">
        <v>37.931554299006386</v>
      </c>
      <c r="O23" s="86">
        <f t="shared" si="14"/>
        <v>0.1772502537336747</v>
      </c>
      <c r="P23" s="60">
        <v>11.4</v>
      </c>
      <c r="Q23" s="60">
        <f t="shared" si="15"/>
        <v>36.038079000000003</v>
      </c>
      <c r="R23" s="86">
        <f t="shared" si="16"/>
        <v>0.16840223831775702</v>
      </c>
      <c r="S23" s="68">
        <f t="shared" si="17"/>
        <v>73.969633299006389</v>
      </c>
      <c r="T23" s="70">
        <f t="shared" si="18"/>
        <v>0.34565249205143173</v>
      </c>
      <c r="U23" s="162"/>
      <c r="V23" s="163">
        <v>260</v>
      </c>
      <c r="W23" s="164">
        <f t="shared" si="19"/>
        <v>0.83333333333333337</v>
      </c>
      <c r="X23" s="165">
        <f t="shared" si="2"/>
        <v>22.903400000000001</v>
      </c>
      <c r="Y23" s="165">
        <f t="shared" si="3"/>
        <v>8.0518479593624104</v>
      </c>
      <c r="Z23" s="166">
        <f t="shared" si="4"/>
        <v>14.851552040637591</v>
      </c>
      <c r="AA23" s="159">
        <f t="shared" si="20"/>
        <v>4.7601128335376892E-2</v>
      </c>
      <c r="AB23" s="162"/>
      <c r="AC23" s="101" t="s">
        <v>117</v>
      </c>
      <c r="AD23" s="167">
        <v>5</v>
      </c>
      <c r="AE23" s="168">
        <f t="shared" si="21"/>
        <v>1.3698630136986301E-2</v>
      </c>
      <c r="AF23" s="166">
        <f t="shared" si="22"/>
        <v>14</v>
      </c>
      <c r="AG23" s="159">
        <f t="shared" si="23"/>
        <v>3.8356164383561646E-2</v>
      </c>
      <c r="AH23" s="164"/>
      <c r="AI23" s="166">
        <v>14.2415</v>
      </c>
      <c r="AJ23" s="159">
        <v>0.17604863013698629</v>
      </c>
      <c r="AK23" s="169"/>
      <c r="AL23" s="163">
        <v>493</v>
      </c>
      <c r="AM23" s="170">
        <f t="shared" si="24"/>
        <v>0.11908212560386473</v>
      </c>
      <c r="AN23" s="171">
        <f t="shared" si="25"/>
        <v>20617.402898550725</v>
      </c>
      <c r="AO23" s="171">
        <f t="shared" si="26"/>
        <v>92.513987365291712</v>
      </c>
      <c r="AP23" s="166">
        <f t="shared" si="27"/>
        <v>63.913948985507247</v>
      </c>
      <c r="AQ23" s="159">
        <f t="shared" si="28"/>
        <v>0.28679336083240431</v>
      </c>
      <c r="AR23" s="166">
        <f t="shared" si="29"/>
        <v>1.2370441739130436</v>
      </c>
      <c r="AS23" s="172">
        <f t="shared" si="30"/>
        <v>5.5508392419175026E-3</v>
      </c>
      <c r="AT23" s="166">
        <f t="shared" si="31"/>
        <v>4.1234805797101455</v>
      </c>
      <c r="AU23" s="172">
        <f t="shared" si="32"/>
        <v>1.8502797473058344E-2</v>
      </c>
      <c r="AV23" s="166">
        <f t="shared" si="33"/>
        <v>0.90716572753623193</v>
      </c>
      <c r="AW23" s="166">
        <f t="shared" si="34"/>
        <v>1.2370441739130436</v>
      </c>
      <c r="AX23" s="160"/>
      <c r="AY23" s="173">
        <v>30</v>
      </c>
      <c r="AZ23" s="174">
        <f>SUM(AY24/365)</f>
        <v>0</v>
      </c>
      <c r="BA23" s="68">
        <f>SUM(AY24*28*3)/2000</f>
        <v>0</v>
      </c>
      <c r="BB23" s="175">
        <f t="shared" si="37"/>
        <v>0</v>
      </c>
      <c r="BC23" s="176"/>
      <c r="BD23" s="177">
        <f t="shared" si="5"/>
        <v>227.31072883411525</v>
      </c>
      <c r="BE23" s="178">
        <f t="shared" si="6"/>
        <v>1.4076909764544394</v>
      </c>
    </row>
    <row r="24" spans="1:57" ht="18" customHeight="1">
      <c r="C24" s="153"/>
      <c r="D24" s="154"/>
      <c r="E24" s="155"/>
      <c r="F24" s="154"/>
      <c r="G24" s="154"/>
      <c r="H24" s="156"/>
      <c r="I24" s="157"/>
      <c r="J24" s="158"/>
      <c r="K24" s="164"/>
      <c r="L24" s="162"/>
      <c r="M24" s="180"/>
      <c r="N24" s="60"/>
      <c r="O24" s="86"/>
      <c r="P24" s="60"/>
      <c r="Q24" s="60"/>
      <c r="R24" s="86"/>
      <c r="S24" s="60"/>
      <c r="T24" s="86"/>
      <c r="U24" s="162"/>
      <c r="V24" s="163"/>
      <c r="W24" s="164"/>
      <c r="X24" s="165"/>
      <c r="Y24" s="165"/>
      <c r="Z24" s="165"/>
      <c r="AA24" s="164"/>
      <c r="AB24" s="162"/>
      <c r="AC24" s="101"/>
      <c r="AD24" s="181"/>
      <c r="AE24" s="168"/>
      <c r="AF24" s="166"/>
      <c r="AG24" s="159"/>
      <c r="AH24" s="164"/>
      <c r="AI24" s="165"/>
      <c r="AJ24" s="164"/>
      <c r="AK24" s="169"/>
      <c r="AL24" s="163"/>
      <c r="AM24" s="170"/>
      <c r="AN24" s="171"/>
      <c r="AO24" s="171"/>
      <c r="AP24" s="165"/>
      <c r="AQ24" s="164"/>
      <c r="AR24" s="165"/>
      <c r="AS24" s="153"/>
      <c r="AT24" s="165"/>
      <c r="AU24" s="153"/>
      <c r="AV24" s="165"/>
      <c r="AW24" s="165"/>
      <c r="AX24" s="160"/>
      <c r="AY24" s="173"/>
      <c r="AZ24" s="173"/>
      <c r="BA24" s="60"/>
      <c r="BB24" s="174"/>
      <c r="BC24" s="176"/>
      <c r="BD24" s="177"/>
      <c r="BE24" s="178"/>
    </row>
    <row r="25" spans="1:57" s="8" customFormat="1" ht="18" customHeight="1">
      <c r="A25" s="8" t="s">
        <v>199</v>
      </c>
      <c r="B25" s="8">
        <f>SUM(B10:B23)</f>
        <v>147.98000000000002</v>
      </c>
      <c r="C25" s="153">
        <f t="shared" si="7"/>
        <v>1.0000000000000002</v>
      </c>
      <c r="D25" s="154">
        <f t="shared" si="8"/>
        <v>308.26000000000005</v>
      </c>
      <c r="E25" s="182">
        <f t="shared" si="9"/>
        <v>3.4145723076923082</v>
      </c>
      <c r="F25" s="158">
        <v>4596.3</v>
      </c>
      <c r="G25" s="154">
        <f t="shared" si="11"/>
        <v>4579.0638749999998</v>
      </c>
      <c r="H25" s="156">
        <f t="shared" si="12"/>
        <v>21.063693824999998</v>
      </c>
      <c r="I25" s="183">
        <f t="shared" si="13"/>
        <v>0.23332091621538456</v>
      </c>
      <c r="J25" s="158">
        <f>SUM(D25,H25)</f>
        <v>329.32369382500002</v>
      </c>
      <c r="K25" s="184">
        <f>SUM(K10:K23)</f>
        <v>3.6478932239076922</v>
      </c>
      <c r="L25" s="185"/>
      <c r="M25" s="186">
        <f>SUM(M10:M23)</f>
        <v>663075.71927771892</v>
      </c>
      <c r="N25" s="186">
        <f>SUM(N10:N23)</f>
        <v>249.12658280056439</v>
      </c>
      <c r="O25" s="70">
        <f t="shared" si="14"/>
        <v>1.1641429102830112</v>
      </c>
      <c r="P25" s="67">
        <f>SUM(P10:P23)</f>
        <v>100.00000000000001</v>
      </c>
      <c r="Q25" s="68">
        <f t="shared" si="15"/>
        <v>316.12350000000009</v>
      </c>
      <c r="R25" s="70">
        <f t="shared" si="16"/>
        <v>1.4772126168224304</v>
      </c>
      <c r="S25" s="68">
        <f t="shared" si="17"/>
        <v>565.25008280056454</v>
      </c>
      <c r="T25" s="70">
        <f t="shared" si="18"/>
        <v>2.6413555271054419</v>
      </c>
      <c r="U25" s="185"/>
      <c r="V25" s="67">
        <f>SUM(V10:V23)</f>
        <v>5709</v>
      </c>
      <c r="W25" s="164">
        <f t="shared" si="19"/>
        <v>18.298076923076923</v>
      </c>
      <c r="X25" s="165">
        <f>SUM(V25*176.18)/2000</f>
        <v>502.90580999999997</v>
      </c>
      <c r="Y25" s="165">
        <f>SUM(V25/5709)*176.8</f>
        <v>176.8</v>
      </c>
      <c r="Z25" s="68">
        <f>SUM(Z10:Z23)</f>
        <v>326.10581000000002</v>
      </c>
      <c r="AA25" s="159">
        <f t="shared" si="20"/>
        <v>1.0452109294871796</v>
      </c>
      <c r="AB25" s="185"/>
      <c r="AC25" s="8" t="s">
        <v>11</v>
      </c>
      <c r="AD25" s="67">
        <f>SUM(AD10:AD23)</f>
        <v>38</v>
      </c>
      <c r="AE25" s="168">
        <f t="shared" si="21"/>
        <v>0.10410958904109589</v>
      </c>
      <c r="AF25" s="166">
        <f t="shared" si="22"/>
        <v>106.39999999999999</v>
      </c>
      <c r="AG25" s="159">
        <f t="shared" si="23"/>
        <v>0.29150684931506848</v>
      </c>
      <c r="AH25" s="159"/>
      <c r="AI25" s="166">
        <f>SUM(AI10:AI23)</f>
        <v>161.57606250000001</v>
      </c>
      <c r="AJ25" s="159">
        <f>SUM(AI25/365)</f>
        <v>0.44267414383561643</v>
      </c>
      <c r="AK25" s="187"/>
      <c r="AL25" s="188">
        <f>SUM(AL10:AL23)</f>
        <v>4140</v>
      </c>
      <c r="AM25" s="189">
        <f t="shared" si="24"/>
        <v>1</v>
      </c>
      <c r="AN25" s="190">
        <f t="shared" si="25"/>
        <v>173136</v>
      </c>
      <c r="AO25" s="190"/>
      <c r="AP25" s="166">
        <f t="shared" si="27"/>
        <v>536.72159999999997</v>
      </c>
      <c r="AQ25" s="159">
        <f t="shared" si="28"/>
        <v>2.4083661538461536</v>
      </c>
      <c r="AR25" s="166">
        <f t="shared" si="29"/>
        <v>10.388159999999999</v>
      </c>
      <c r="AS25" s="172">
        <f t="shared" si="30"/>
        <v>4.6613538461538456E-2</v>
      </c>
      <c r="AT25" s="166">
        <f t="shared" si="31"/>
        <v>34.627200000000002</v>
      </c>
      <c r="AU25" s="172">
        <f t="shared" si="32"/>
        <v>0.15537846153846155</v>
      </c>
      <c r="AV25" s="166">
        <f t="shared" si="33"/>
        <v>7.6179839999999999</v>
      </c>
      <c r="AW25" s="166">
        <f t="shared" si="34"/>
        <v>10.388159999999999</v>
      </c>
      <c r="AX25" s="191"/>
      <c r="AY25" s="67">
        <f>SUM(AY10:AY23)</f>
        <v>251</v>
      </c>
      <c r="AZ25" s="67"/>
      <c r="BA25" s="68">
        <f t="shared" si="36"/>
        <v>10.542</v>
      </c>
      <c r="BB25" s="175">
        <f t="shared" si="37"/>
        <v>2.8882191780821916E-2</v>
      </c>
      <c r="BC25" s="192"/>
      <c r="BD25" s="177">
        <f>SUM(J25,S25,Z25,AF25,AI25,AP25,BA25)</f>
        <v>2035.9192491255644</v>
      </c>
      <c r="BE25" s="73">
        <f>SUM(BE10:BE23)</f>
        <v>11.037705012428656</v>
      </c>
    </row>
    <row r="26" spans="1:57" s="8" customFormat="1" ht="18" customHeight="1">
      <c r="I26" s="172"/>
      <c r="J26" s="158"/>
      <c r="K26" s="159"/>
      <c r="L26" s="185"/>
      <c r="M26" s="96"/>
      <c r="N26" s="96"/>
      <c r="O26" s="86"/>
      <c r="P26" s="193"/>
      <c r="Q26" s="193"/>
      <c r="R26" s="193"/>
      <c r="S26" s="193"/>
      <c r="T26" s="193"/>
      <c r="U26" s="194"/>
      <c r="X26" s="165"/>
      <c r="Y26" s="188"/>
      <c r="Z26" s="166">
        <f>SUM(Z10:Z23)</f>
        <v>326.10581000000002</v>
      </c>
      <c r="AA26" s="159"/>
      <c r="AB26" s="185"/>
      <c r="AI26" s="188"/>
      <c r="AJ26" s="188"/>
      <c r="AK26" s="187"/>
      <c r="AL26" s="188"/>
      <c r="AM26" s="188"/>
      <c r="AN26" s="188"/>
      <c r="AO26" s="188"/>
      <c r="AP26" s="166"/>
      <c r="AQ26" s="159"/>
      <c r="AR26" s="159"/>
      <c r="AS26" s="159"/>
      <c r="AT26" s="159"/>
      <c r="AU26" s="159"/>
      <c r="AV26" s="159"/>
      <c r="AW26" s="188"/>
      <c r="AX26" s="187"/>
      <c r="AY26" s="67"/>
      <c r="AZ26" s="67"/>
      <c r="BA26" s="68"/>
      <c r="BB26" s="175"/>
      <c r="BC26" s="192"/>
      <c r="BD26" s="177">
        <f>SUM(BD10:BD23)</f>
        <v>2035.9192491255642</v>
      </c>
      <c r="BE26" s="178">
        <f>SUM(BE10:BE23)</f>
        <v>11.037705012428656</v>
      </c>
    </row>
    <row r="27" spans="1:57" s="8" customFormat="1" ht="18" customHeight="1">
      <c r="A27" s="8" t="s">
        <v>121</v>
      </c>
      <c r="D27" s="159">
        <f>SUM(D11,D15,D16,D17)</f>
        <v>49.307434788484926</v>
      </c>
      <c r="E27" s="159">
        <f>SUM(E11,E15,E16,E17)</f>
        <v>0.54617466227244837</v>
      </c>
      <c r="F27" s="159"/>
      <c r="G27" s="159"/>
      <c r="H27" s="159">
        <f>SUM(H11,H15,H16,H17)</f>
        <v>3.369223089861805</v>
      </c>
      <c r="I27" s="172">
        <f>SUM(I11,I15,I16,I17)</f>
        <v>3.7320624995392307E-2</v>
      </c>
      <c r="J27" s="158">
        <f>SUM(J11,J15,J16,J17)</f>
        <v>52.676657878346731</v>
      </c>
      <c r="K27" s="159">
        <f>SUM(K11,K15,K16,K17)</f>
        <v>0.58349528726784072</v>
      </c>
      <c r="L27" s="185"/>
      <c r="M27" s="68">
        <f>SUM(M11,M15,M16,M17)</f>
        <v>176697.11899759329</v>
      </c>
      <c r="N27" s="68">
        <f>SUM(N11,N15,N16,N17)</f>
        <v>66.387515281852814</v>
      </c>
      <c r="O27" s="86">
        <f t="shared" si="14"/>
        <v>0.3102220340273496</v>
      </c>
      <c r="P27" s="195"/>
      <c r="Q27" s="68">
        <f>SUM(Q11,Q15,Q16,Q17)</f>
        <v>41.096055</v>
      </c>
      <c r="R27" s="70">
        <f>SUM(R11,R15,R16,R17)</f>
        <v>0.19203764018691588</v>
      </c>
      <c r="S27" s="68">
        <f>SUM(S11,S15,S16,S17)</f>
        <v>107.48357028185279</v>
      </c>
      <c r="T27" s="70">
        <f>SUM(T11,T15,T16,T17)</f>
        <v>0.50225967421426543</v>
      </c>
      <c r="U27" s="196"/>
      <c r="V27" s="188">
        <f>SUM(V11,V15,V16,V17)</f>
        <v>451</v>
      </c>
      <c r="W27" s="188"/>
      <c r="X27" s="166">
        <f>SUM(X11,X15,X16,X17)</f>
        <v>39.728589999999997</v>
      </c>
      <c r="Y27" s="166">
        <f>SUM(Y11,Y15,Y16,Y17)</f>
        <v>13.966859344894027</v>
      </c>
      <c r="Z27" s="166">
        <f>SUM(Z11,Z15,Z16,Z17)</f>
        <v>25.761730655105975</v>
      </c>
      <c r="AA27" s="159">
        <f>SUM(AA11,AA15,AA16,AA17)</f>
        <v>8.2569649535596062E-2</v>
      </c>
      <c r="AB27" s="185"/>
      <c r="AC27" s="8" t="s">
        <v>121</v>
      </c>
      <c r="AD27" s="166"/>
      <c r="AE27" s="166"/>
      <c r="AF27" s="166">
        <f>SUM(AF11,AF15,AF16,AF17)</f>
        <v>16.799999999999997</v>
      </c>
      <c r="AG27" s="159">
        <f>SUM(AG11,AG15,AG16,AG17)</f>
        <v>4.6027397260273967E-2</v>
      </c>
      <c r="AH27" s="166"/>
      <c r="AI27" s="166">
        <f>SUM(AI11,AI15,AI16,AI17)</f>
        <v>16.224512499999999</v>
      </c>
      <c r="AJ27" s="159">
        <f>SUM(AJ11,AJ15,AJ16,AJ17)</f>
        <v>0.20695369863013696</v>
      </c>
      <c r="AK27" s="196"/>
      <c r="AL27" s="166">
        <f>SUM(AL11,AL15,AL16,AL17)</f>
        <v>786</v>
      </c>
      <c r="AM27" s="166"/>
      <c r="AN27" s="166">
        <f t="shared" ref="AN27:AW27" si="38">SUM(AN11,AN15,AN16,AN17)</f>
        <v>32870.747826086954</v>
      </c>
      <c r="AO27" s="166"/>
      <c r="AP27" s="166">
        <f t="shared" si="38"/>
        <v>101.89931826086958</v>
      </c>
      <c r="AQ27" s="159">
        <f t="shared" si="38"/>
        <v>0.457240530657748</v>
      </c>
      <c r="AR27" s="166">
        <f t="shared" si="38"/>
        <v>1.9722448695652173</v>
      </c>
      <c r="AS27" s="159">
        <f t="shared" si="38"/>
        <v>8.8498167224080257E-3</v>
      </c>
      <c r="AT27" s="166">
        <f t="shared" si="38"/>
        <v>6.5741495652173931</v>
      </c>
      <c r="AU27" s="159">
        <f t="shared" si="38"/>
        <v>2.9499389074693422E-2</v>
      </c>
      <c r="AV27" s="166">
        <f t="shared" si="38"/>
        <v>1.4463129043478262</v>
      </c>
      <c r="AW27" s="166">
        <f t="shared" si="38"/>
        <v>1.9722448695652173</v>
      </c>
      <c r="AX27" s="196"/>
      <c r="AY27" s="166"/>
      <c r="AZ27" s="166"/>
      <c r="BA27" s="166">
        <f>SUM(BA11,BA15,BA16,BA17)</f>
        <v>1.9319999999999999</v>
      </c>
      <c r="BB27" s="172">
        <f>SUM(BB11,BB15,BB16,BB17)</f>
        <v>5.2931506849315064E-3</v>
      </c>
      <c r="BC27" s="191"/>
      <c r="BD27" s="177">
        <f>SUM(BD11,BD15,BD16,BD17)</f>
        <v>322.77778957617505</v>
      </c>
      <c r="BE27" s="178">
        <f>SUM(BE11,BE15,BE16,BE17)</f>
        <v>1.8838393882507924</v>
      </c>
    </row>
    <row r="28" spans="1:57" s="8" customFormat="1" ht="18" customHeight="1">
      <c r="A28" s="8" t="s">
        <v>120</v>
      </c>
      <c r="D28" s="159">
        <f t="shared" ref="D28:BE28" si="39">SUM(D25-D27)</f>
        <v>258.95256521151509</v>
      </c>
      <c r="E28" s="159">
        <f t="shared" si="39"/>
        <v>2.8683976454198596</v>
      </c>
      <c r="F28" s="159"/>
      <c r="G28" s="159"/>
      <c r="H28" s="159">
        <f t="shared" si="39"/>
        <v>17.694470735138193</v>
      </c>
      <c r="I28" s="172">
        <f t="shared" si="39"/>
        <v>0.19600029121999224</v>
      </c>
      <c r="J28" s="158">
        <f t="shared" si="39"/>
        <v>276.64703594665332</v>
      </c>
      <c r="K28" s="159">
        <f t="shared" si="39"/>
        <v>3.0643979366398515</v>
      </c>
      <c r="L28" s="185"/>
      <c r="M28" s="68">
        <f t="shared" si="39"/>
        <v>486378.60028012563</v>
      </c>
      <c r="N28" s="68">
        <f t="shared" si="39"/>
        <v>182.73906751871158</v>
      </c>
      <c r="O28" s="86">
        <f t="shared" si="14"/>
        <v>0.8539208762556616</v>
      </c>
      <c r="P28" s="195"/>
      <c r="Q28" s="68">
        <f t="shared" si="39"/>
        <v>275.02744500000011</v>
      </c>
      <c r="R28" s="70">
        <f t="shared" si="39"/>
        <v>1.2851749766355145</v>
      </c>
      <c r="S28" s="68">
        <f t="shared" si="39"/>
        <v>457.76651251871175</v>
      </c>
      <c r="T28" s="70">
        <f t="shared" si="39"/>
        <v>2.1390958528911765</v>
      </c>
      <c r="U28" s="185"/>
      <c r="V28" s="188">
        <f t="shared" si="39"/>
        <v>5258</v>
      </c>
      <c r="W28" s="188"/>
      <c r="X28" s="166">
        <f>SUM(X25-X27)</f>
        <v>463.17721999999998</v>
      </c>
      <c r="Y28" s="166">
        <f>SUM(Y25-Y27)</f>
        <v>162.83314065510598</v>
      </c>
      <c r="Z28" s="166">
        <f>SUM(Z25-Z27)</f>
        <v>300.34407934489406</v>
      </c>
      <c r="AA28" s="159">
        <f>SUM(AA25-AA27)</f>
        <v>0.96264127995158355</v>
      </c>
      <c r="AB28" s="185"/>
      <c r="AC28" s="8" t="s">
        <v>120</v>
      </c>
      <c r="AD28" s="188"/>
      <c r="AE28" s="188"/>
      <c r="AF28" s="166">
        <f t="shared" si="39"/>
        <v>89.6</v>
      </c>
      <c r="AG28" s="159">
        <f t="shared" si="39"/>
        <v>0.24547945205479452</v>
      </c>
      <c r="AH28" s="188"/>
      <c r="AI28" s="166">
        <f t="shared" si="39"/>
        <v>145.35155</v>
      </c>
      <c r="AJ28" s="159">
        <f t="shared" si="39"/>
        <v>0.23572044520547947</v>
      </c>
      <c r="AK28" s="187"/>
      <c r="AL28" s="188">
        <f t="shared" si="39"/>
        <v>3354</v>
      </c>
      <c r="AM28" s="188"/>
      <c r="AN28" s="188">
        <f t="shared" si="39"/>
        <v>140265.25217391306</v>
      </c>
      <c r="AO28" s="188"/>
      <c r="AP28" s="166">
        <f t="shared" si="39"/>
        <v>434.8222817391304</v>
      </c>
      <c r="AQ28" s="159">
        <f t="shared" si="39"/>
        <v>1.9511256231884055</v>
      </c>
      <c r="AR28" s="166">
        <f t="shared" si="39"/>
        <v>8.4159151304347812</v>
      </c>
      <c r="AS28" s="159">
        <f t="shared" si="39"/>
        <v>3.7763721739130431E-2</v>
      </c>
      <c r="AT28" s="166">
        <f t="shared" si="39"/>
        <v>28.053050434782609</v>
      </c>
      <c r="AU28" s="159">
        <f t="shared" si="39"/>
        <v>0.12587907246376812</v>
      </c>
      <c r="AV28" s="166">
        <f t="shared" si="39"/>
        <v>6.1716710956521741</v>
      </c>
      <c r="AW28" s="166">
        <f t="shared" si="39"/>
        <v>8.4159151304347812</v>
      </c>
      <c r="AX28" s="185"/>
      <c r="AY28" s="67"/>
      <c r="AZ28" s="67"/>
      <c r="BA28" s="68">
        <f t="shared" si="39"/>
        <v>8.61</v>
      </c>
      <c r="BB28" s="175">
        <f t="shared" si="39"/>
        <v>2.3589041095890408E-2</v>
      </c>
      <c r="BC28" s="192"/>
      <c r="BD28" s="177">
        <f t="shared" si="39"/>
        <v>1713.1414595493893</v>
      </c>
      <c r="BE28" s="178">
        <f t="shared" si="39"/>
        <v>9.1538656241778646</v>
      </c>
    </row>
    <row r="29" spans="1:57" ht="15" customHeight="1">
      <c r="I29" s="153"/>
      <c r="K29" s="197"/>
    </row>
    <row r="34" spans="14:52" ht="15" customHeight="1">
      <c r="V34" s="198"/>
      <c r="W34" s="198"/>
      <c r="AZ34" s="198"/>
    </row>
    <row r="35" spans="14:52" ht="15" customHeight="1">
      <c r="N35" s="2" t="s">
        <v>203</v>
      </c>
      <c r="AQ35" s="1" t="s">
        <v>268</v>
      </c>
    </row>
  </sheetData>
  <phoneticPr fontId="0" type="noConversion"/>
  <printOptions gridLines="1" gridLinesSet="0"/>
  <pageMargins left="0.5" right="0.25" top="0.25" bottom="0.25" header="0.25" footer="0.25"/>
  <pageSetup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sqref="A1:IV65536"/>
    </sheetView>
  </sheetViews>
  <sheetFormatPr defaultRowHeight="12.75"/>
  <cols>
    <col min="1" max="10" width="9.140625" style="75"/>
    <col min="11" max="11" width="9.7109375" style="75" customWidth="1"/>
    <col min="12" max="12" width="9.42578125" style="75" customWidth="1"/>
    <col min="13" max="16384" width="9.140625" style="75"/>
  </cols>
  <sheetData>
    <row r="1" spans="1:12">
      <c r="A1" s="74"/>
      <c r="B1" s="74"/>
      <c r="D1" s="76" t="s">
        <v>403</v>
      </c>
      <c r="E1" s="74"/>
      <c r="F1" s="74"/>
      <c r="G1" s="74"/>
      <c r="H1" s="74"/>
      <c r="I1" s="74"/>
      <c r="J1" s="74"/>
      <c r="K1" s="74"/>
    </row>
    <row r="2" spans="1:12">
      <c r="A2" s="77" t="s">
        <v>404</v>
      </c>
      <c r="B2" s="74"/>
      <c r="C2" s="76"/>
      <c r="D2" s="74"/>
      <c r="E2" s="74"/>
      <c r="F2" s="74"/>
      <c r="G2" s="74"/>
      <c r="H2" s="74"/>
      <c r="I2" s="74"/>
      <c r="J2" s="74"/>
      <c r="K2" s="74"/>
    </row>
    <row r="3" spans="1:12" ht="51">
      <c r="A3" s="78" t="s">
        <v>405</v>
      </c>
      <c r="B3" s="78" t="s">
        <v>406</v>
      </c>
      <c r="C3" s="78" t="s">
        <v>407</v>
      </c>
      <c r="D3" s="78" t="s">
        <v>408</v>
      </c>
      <c r="E3" s="78" t="s">
        <v>409</v>
      </c>
      <c r="F3" s="79" t="s">
        <v>410</v>
      </c>
      <c r="G3" s="78" t="s">
        <v>411</v>
      </c>
      <c r="H3" s="78" t="s">
        <v>412</v>
      </c>
      <c r="I3" s="78" t="s">
        <v>413</v>
      </c>
      <c r="J3" s="78" t="s">
        <v>414</v>
      </c>
      <c r="K3" s="80" t="s">
        <v>461</v>
      </c>
      <c r="L3" s="80" t="s">
        <v>462</v>
      </c>
    </row>
    <row r="4" spans="1:12">
      <c r="A4" s="81" t="s">
        <v>415</v>
      </c>
      <c r="B4" s="81" t="s">
        <v>416</v>
      </c>
      <c r="C4" s="81" t="s">
        <v>417</v>
      </c>
      <c r="D4" s="81" t="s">
        <v>418</v>
      </c>
      <c r="E4" s="82">
        <v>1529.7302148297099</v>
      </c>
      <c r="F4" s="83">
        <v>25664.464374155199</v>
      </c>
      <c r="G4" s="84" t="s">
        <v>419</v>
      </c>
      <c r="H4" s="84" t="s">
        <v>23</v>
      </c>
      <c r="I4" s="81">
        <v>0.75142725199449389</v>
      </c>
      <c r="J4" s="84" t="s">
        <v>419</v>
      </c>
      <c r="K4" s="85">
        <v>9.6424889692910138</v>
      </c>
      <c r="L4" s="86">
        <f>SUM(K4/214)</f>
        <v>4.5058359669584179E-2</v>
      </c>
    </row>
    <row r="5" spans="1:12">
      <c r="A5" s="81" t="s">
        <v>420</v>
      </c>
      <c r="B5" s="81" t="s">
        <v>416</v>
      </c>
      <c r="C5" s="81" t="s">
        <v>421</v>
      </c>
      <c r="D5" s="81" t="s">
        <v>422</v>
      </c>
      <c r="E5" s="82">
        <v>48332.978498572003</v>
      </c>
      <c r="F5" s="83">
        <v>23786.575414763101</v>
      </c>
      <c r="G5" s="84" t="s">
        <v>419</v>
      </c>
      <c r="H5" s="84" t="s">
        <v>23</v>
      </c>
      <c r="I5" s="81">
        <v>0.75142725199449389</v>
      </c>
      <c r="J5" s="84" t="s">
        <v>419</v>
      </c>
      <c r="K5" s="85">
        <v>8.9369404991376129</v>
      </c>
      <c r="L5" s="86">
        <f t="shared" ref="L5:L18" si="0">SUM(K5/214)</f>
        <v>4.1761404201577632E-2</v>
      </c>
    </row>
    <row r="6" spans="1:12">
      <c r="A6" s="81" t="s">
        <v>423</v>
      </c>
      <c r="B6" s="81" t="s">
        <v>416</v>
      </c>
      <c r="C6" s="81" t="s">
        <v>424</v>
      </c>
      <c r="D6" s="81" t="s">
        <v>425</v>
      </c>
      <c r="E6" s="82">
        <v>27301.198454826099</v>
      </c>
      <c r="F6" s="83">
        <v>40028.262197403397</v>
      </c>
      <c r="G6" s="84" t="s">
        <v>419</v>
      </c>
      <c r="H6" s="84" t="s">
        <v>23</v>
      </c>
      <c r="I6" s="81">
        <v>0.75142725199449389</v>
      </c>
      <c r="J6" s="84" t="s">
        <v>419</v>
      </c>
      <c r="K6" s="85">
        <v>15.039163532554959</v>
      </c>
      <c r="L6" s="86">
        <f t="shared" si="0"/>
        <v>7.0276465105397007E-2</v>
      </c>
    </row>
    <row r="7" spans="1:12">
      <c r="A7" s="81" t="s">
        <v>426</v>
      </c>
      <c r="B7" s="81" t="s">
        <v>416</v>
      </c>
      <c r="C7" s="81" t="s">
        <v>427</v>
      </c>
      <c r="D7" s="81" t="s">
        <v>428</v>
      </c>
      <c r="E7" s="82">
        <v>2136.30713463743</v>
      </c>
      <c r="F7" s="83">
        <v>2130.12498057435</v>
      </c>
      <c r="G7" s="84" t="s">
        <v>419</v>
      </c>
      <c r="H7" s="84" t="s">
        <v>23</v>
      </c>
      <c r="I7" s="81">
        <v>0.75142725199449389</v>
      </c>
      <c r="J7" s="84" t="s">
        <v>419</v>
      </c>
      <c r="K7" s="85">
        <v>0.80031698027890419</v>
      </c>
      <c r="L7" s="86">
        <f t="shared" si="0"/>
        <v>3.7397989732659074E-3</v>
      </c>
    </row>
    <row r="8" spans="1:12">
      <c r="A8" s="81" t="s">
        <v>429</v>
      </c>
      <c r="B8" s="81" t="s">
        <v>416</v>
      </c>
      <c r="C8" s="81" t="s">
        <v>430</v>
      </c>
      <c r="D8" s="81" t="s">
        <v>431</v>
      </c>
      <c r="E8" s="82">
        <v>23571.157135739599</v>
      </c>
      <c r="F8" s="83">
        <v>25315.684158592201</v>
      </c>
      <c r="G8" s="84" t="s">
        <v>419</v>
      </c>
      <c r="H8" s="84" t="s">
        <v>23</v>
      </c>
      <c r="I8" s="81">
        <v>0.75142725199449389</v>
      </c>
      <c r="J8" s="84" t="s">
        <v>419</v>
      </c>
      <c r="K8" s="85">
        <v>9.5114474898257395</v>
      </c>
      <c r="L8" s="86">
        <f t="shared" si="0"/>
        <v>4.4446016307596911E-2</v>
      </c>
    </row>
    <row r="9" spans="1:12">
      <c r="A9" s="81" t="s">
        <v>432</v>
      </c>
      <c r="B9" s="81" t="s">
        <v>416</v>
      </c>
      <c r="C9" s="81" t="s">
        <v>433</v>
      </c>
      <c r="D9" s="81" t="s">
        <v>434</v>
      </c>
      <c r="E9" s="82">
        <v>43506.137075489103</v>
      </c>
      <c r="F9" s="83">
        <v>64775.257207369599</v>
      </c>
      <c r="G9" s="84" t="s">
        <v>419</v>
      </c>
      <c r="H9" s="84" t="s">
        <v>23</v>
      </c>
      <c r="I9" s="81">
        <v>0.75142725199449389</v>
      </c>
      <c r="J9" s="84" t="s">
        <v>419</v>
      </c>
      <c r="K9" s="85">
        <v>24.336946760285137</v>
      </c>
      <c r="L9" s="86">
        <f t="shared" si="0"/>
        <v>0.11372405028170625</v>
      </c>
    </row>
    <row r="10" spans="1:12">
      <c r="A10" s="81" t="s">
        <v>435</v>
      </c>
      <c r="B10" s="81" t="s">
        <v>416</v>
      </c>
      <c r="C10" s="81" t="s">
        <v>436</v>
      </c>
      <c r="D10" s="81" t="s">
        <v>437</v>
      </c>
      <c r="E10" s="82">
        <v>22908.3458286114</v>
      </c>
      <c r="F10" s="83">
        <v>21105.031685285099</v>
      </c>
      <c r="G10" s="84" t="s">
        <v>419</v>
      </c>
      <c r="H10" s="84" t="s">
        <v>23</v>
      </c>
      <c r="I10" s="81">
        <v>0.75142725199449389</v>
      </c>
      <c r="J10" s="84" t="s">
        <v>419</v>
      </c>
      <c r="K10" s="85">
        <v>7.9294479812652527</v>
      </c>
      <c r="L10" s="86">
        <f t="shared" si="0"/>
        <v>3.7053495239557255E-2</v>
      </c>
    </row>
    <row r="11" spans="1:12">
      <c r="A11" s="81" t="s">
        <v>438</v>
      </c>
      <c r="B11" s="81" t="s">
        <v>416</v>
      </c>
      <c r="C11" s="81" t="s">
        <v>439</v>
      </c>
      <c r="D11" s="81" t="s">
        <v>440</v>
      </c>
      <c r="E11" s="82">
        <v>43095.248318713398</v>
      </c>
      <c r="F11" s="83">
        <v>67030.254690175498</v>
      </c>
      <c r="G11" s="84" t="s">
        <v>419</v>
      </c>
      <c r="H11" s="84" t="s">
        <v>23</v>
      </c>
      <c r="I11" s="81">
        <v>0.75142725199449389</v>
      </c>
      <c r="J11" s="84" t="s">
        <v>419</v>
      </c>
      <c r="K11" s="85">
        <v>25.184180041164804</v>
      </c>
      <c r="L11" s="86">
        <f t="shared" si="0"/>
        <v>0.11768308430450843</v>
      </c>
    </row>
    <row r="12" spans="1:12">
      <c r="A12" s="81" t="s">
        <v>441</v>
      </c>
      <c r="B12" s="81" t="s">
        <v>416</v>
      </c>
      <c r="C12" s="81" t="s">
        <v>442</v>
      </c>
      <c r="D12" s="81" t="s">
        <v>443</v>
      </c>
      <c r="E12" s="82">
        <v>27966.878902925899</v>
      </c>
      <c r="F12" s="83">
        <v>32124.8810796855</v>
      </c>
      <c r="G12" s="84" t="s">
        <v>419</v>
      </c>
      <c r="H12" s="84" t="s">
        <v>23</v>
      </c>
      <c r="I12" s="81">
        <v>0.75142725199449389</v>
      </c>
      <c r="J12" s="84" t="s">
        <v>419</v>
      </c>
      <c r="K12" s="85">
        <v>12.069755555178991</v>
      </c>
      <c r="L12" s="86">
        <f t="shared" si="0"/>
        <v>5.6400726893359773E-2</v>
      </c>
    </row>
    <row r="13" spans="1:12">
      <c r="A13" s="81" t="s">
        <v>444</v>
      </c>
      <c r="B13" s="81" t="s">
        <v>416</v>
      </c>
      <c r="C13" s="81" t="s">
        <v>445</v>
      </c>
      <c r="D13" s="81" t="s">
        <v>446</v>
      </c>
      <c r="E13" s="82">
        <v>216.992407440005</v>
      </c>
      <c r="F13" s="83">
        <v>1217.4634030280499</v>
      </c>
      <c r="G13" s="84" t="s">
        <v>419</v>
      </c>
      <c r="H13" s="84" t="s">
        <v>23</v>
      </c>
      <c r="I13" s="81">
        <v>0.75142725199449389</v>
      </c>
      <c r="J13" s="84" t="s">
        <v>419</v>
      </c>
      <c r="K13" s="85">
        <v>0.4574175896706163</v>
      </c>
      <c r="L13" s="86">
        <f t="shared" si="0"/>
        <v>2.1374653722925994E-3</v>
      </c>
    </row>
    <row r="14" spans="1:12">
      <c r="A14" s="81" t="s">
        <v>447</v>
      </c>
      <c r="B14" s="81" t="s">
        <v>416</v>
      </c>
      <c r="C14" s="81" t="s">
        <v>448</v>
      </c>
      <c r="D14" s="81" t="s">
        <v>449</v>
      </c>
      <c r="E14" s="82">
        <v>6106.2951344707899</v>
      </c>
      <c r="F14" s="83">
        <v>8824.88379995787</v>
      </c>
      <c r="G14" s="84" t="s">
        <v>419</v>
      </c>
      <c r="H14" s="84" t="s">
        <v>23</v>
      </c>
      <c r="I14" s="81">
        <v>0.75142725199449389</v>
      </c>
      <c r="J14" s="84" t="s">
        <v>419</v>
      </c>
      <c r="K14" s="83">
        <v>3.3156290914865343</v>
      </c>
      <c r="L14" s="86">
        <f t="shared" si="0"/>
        <v>1.5493593885451094E-2</v>
      </c>
    </row>
    <row r="15" spans="1:12">
      <c r="A15" s="81" t="s">
        <v>450</v>
      </c>
      <c r="B15" s="81" t="s">
        <v>416</v>
      </c>
      <c r="C15" s="81" t="s">
        <v>451</v>
      </c>
      <c r="D15" s="81" t="s">
        <v>452</v>
      </c>
      <c r="E15" s="82">
        <v>21631.1247533936</v>
      </c>
      <c r="F15" s="83">
        <v>250105.05218036499</v>
      </c>
      <c r="G15" s="84" t="s">
        <v>419</v>
      </c>
      <c r="H15" s="84" t="s">
        <v>23</v>
      </c>
      <c r="I15" s="81">
        <v>0.75142725199449389</v>
      </c>
      <c r="J15" s="84" t="s">
        <v>419</v>
      </c>
      <c r="K15" s="83">
        <v>93.967876034915577</v>
      </c>
      <c r="L15" s="86">
        <f t="shared" si="0"/>
        <v>0.4391022244622223</v>
      </c>
    </row>
    <row r="16" spans="1:12">
      <c r="A16" s="81" t="s">
        <v>453</v>
      </c>
      <c r="B16" s="81" t="s">
        <v>416</v>
      </c>
      <c r="C16" s="81" t="s">
        <v>454</v>
      </c>
      <c r="D16" s="81" t="s">
        <v>455</v>
      </c>
      <c r="E16" s="82">
        <v>5.75</v>
      </c>
      <c r="F16" s="83">
        <v>9.0972918371111593</v>
      </c>
      <c r="G16" s="84" t="s">
        <v>419</v>
      </c>
      <c r="H16" s="84" t="s">
        <v>23</v>
      </c>
      <c r="I16" s="81">
        <v>0.75142725199449389</v>
      </c>
      <c r="J16" s="84" t="s">
        <v>419</v>
      </c>
      <c r="K16" s="83">
        <v>3.4179765028761896E-3</v>
      </c>
      <c r="L16" s="86">
        <f t="shared" si="0"/>
        <v>1.5971852817178455E-5</v>
      </c>
    </row>
    <row r="17" spans="1:12" s="92" customFormat="1">
      <c r="A17" s="87" t="s">
        <v>456</v>
      </c>
      <c r="B17" s="87" t="s">
        <v>416</v>
      </c>
      <c r="C17" s="87" t="s">
        <v>457</v>
      </c>
      <c r="D17" s="87" t="s">
        <v>458</v>
      </c>
      <c r="E17" s="88">
        <v>75046.856140350894</v>
      </c>
      <c r="F17" s="89">
        <v>100958.686814527</v>
      </c>
      <c r="G17" s="90" t="s">
        <v>419</v>
      </c>
      <c r="H17" s="90" t="s">
        <v>23</v>
      </c>
      <c r="I17" s="87">
        <v>0.75142725199449389</v>
      </c>
      <c r="J17" s="90" t="s">
        <v>419</v>
      </c>
      <c r="K17" s="89">
        <v>37.931554299006386</v>
      </c>
      <c r="L17" s="91">
        <f t="shared" si="0"/>
        <v>0.1772502537336747</v>
      </c>
    </row>
    <row r="18" spans="1:12" s="96" customFormat="1" ht="20.45" customHeight="1">
      <c r="A18" s="93"/>
      <c r="B18" s="93"/>
      <c r="C18" s="93"/>
      <c r="D18" s="93" t="s">
        <v>199</v>
      </c>
      <c r="E18" s="94">
        <v>343355</v>
      </c>
      <c r="F18" s="94">
        <v>663075.71927771892</v>
      </c>
      <c r="G18" s="93"/>
      <c r="H18" s="93"/>
      <c r="I18" s="93"/>
      <c r="J18" s="93"/>
      <c r="K18" s="95">
        <v>249.12658280056439</v>
      </c>
      <c r="L18" s="70">
        <f t="shared" si="0"/>
        <v>1.1641429102830112</v>
      </c>
    </row>
    <row r="20" spans="1:12">
      <c r="D20" s="75" t="s">
        <v>459</v>
      </c>
      <c r="K20" s="97">
        <f>SUM(K18-K21)</f>
        <v>182.73906751871158</v>
      </c>
      <c r="L20" s="98">
        <f>SUM(L18-L21)</f>
        <v>0.8539208762556616</v>
      </c>
    </row>
    <row r="21" spans="1:12">
      <c r="D21" s="75" t="s">
        <v>460</v>
      </c>
      <c r="K21" s="97">
        <f>SUM(K5,K9,K10,K11)</f>
        <v>66.387515281852814</v>
      </c>
      <c r="L21" s="98">
        <f>SUM(L5,L9,L10,L11)</f>
        <v>0.31022203402734955</v>
      </c>
    </row>
    <row r="27" spans="1:12">
      <c r="A27" s="74"/>
      <c r="B27" s="74"/>
      <c r="C27" s="74"/>
      <c r="D27" s="74"/>
      <c r="E27" s="74"/>
      <c r="G27" s="99" t="s">
        <v>269</v>
      </c>
      <c r="H27" s="74"/>
      <c r="I27" s="74"/>
      <c r="J27" s="74"/>
      <c r="K27" s="74"/>
    </row>
  </sheetData>
  <phoneticPr fontId="0" type="noConversion"/>
  <printOptions gridLines="1" gridLinesSet="0"/>
  <pageMargins left="0.75" right="0.75" top="1" bottom="1" header="0.5" footer="0.5"/>
  <pageSetup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W36"/>
  <sheetViews>
    <sheetView workbookViewId="0">
      <selection sqref="A1:IV65536"/>
    </sheetView>
  </sheetViews>
  <sheetFormatPr defaultColWidth="8.85546875" defaultRowHeight="12.75"/>
  <cols>
    <col min="1" max="1" width="6.28515625" style="46" customWidth="1"/>
    <col min="2" max="2" width="7" style="46" customWidth="1"/>
    <col min="3" max="3" width="6" style="46" customWidth="1"/>
    <col min="4" max="5" width="6.140625" style="46" customWidth="1"/>
    <col min="6" max="7" width="5.85546875" style="46" customWidth="1"/>
    <col min="8" max="8" width="5.7109375" style="46" customWidth="1"/>
    <col min="9" max="10" width="6.140625" style="46" customWidth="1"/>
    <col min="11" max="11" width="6.28515625" style="46" customWidth="1"/>
    <col min="12" max="12" width="5.140625" style="46" customWidth="1"/>
    <col min="13" max="13" width="6.28515625" style="46" customWidth="1"/>
    <col min="14" max="14" width="5.85546875" style="46" customWidth="1"/>
    <col min="15" max="15" width="7.42578125" style="46" customWidth="1"/>
    <col min="16" max="16" width="6.42578125" style="46" customWidth="1"/>
    <col min="17" max="18" width="6.140625" style="46" customWidth="1"/>
    <col min="19" max="19" width="5.5703125" style="46" customWidth="1"/>
    <col min="20" max="21" width="6.7109375" style="46" customWidth="1"/>
    <col min="22" max="22" width="6" style="46" customWidth="1"/>
    <col min="23" max="16384" width="8.85546875" style="46"/>
  </cols>
  <sheetData>
    <row r="1" spans="1:23" ht="13.5">
      <c r="A1" s="45"/>
      <c r="F1" s="47"/>
      <c r="G1" s="48" t="s">
        <v>374</v>
      </c>
      <c r="J1" s="47"/>
      <c r="P1" s="45"/>
    </row>
    <row r="2" spans="1:23">
      <c r="A2" s="49" t="s">
        <v>271</v>
      </c>
      <c r="N2" s="49"/>
    </row>
    <row r="3" spans="1:23">
      <c r="V3" s="50" t="s">
        <v>11</v>
      </c>
    </row>
    <row r="4" spans="1:23">
      <c r="B4" s="51" t="s">
        <v>272</v>
      </c>
      <c r="D4" s="51" t="s">
        <v>272</v>
      </c>
      <c r="F4" s="51" t="s">
        <v>272</v>
      </c>
      <c r="H4" s="51" t="s">
        <v>272</v>
      </c>
      <c r="J4" s="51" t="s">
        <v>272</v>
      </c>
      <c r="L4" s="51" t="s">
        <v>272</v>
      </c>
      <c r="N4" s="51" t="s">
        <v>272</v>
      </c>
      <c r="O4" s="51" t="s">
        <v>272</v>
      </c>
      <c r="Q4" s="51" t="s">
        <v>272</v>
      </c>
      <c r="S4" s="51" t="s">
        <v>272</v>
      </c>
      <c r="U4" s="50" t="s">
        <v>11</v>
      </c>
      <c r="V4" s="50" t="s">
        <v>275</v>
      </c>
      <c r="W4" s="51"/>
    </row>
    <row r="5" spans="1:23">
      <c r="B5" s="51" t="s">
        <v>273</v>
      </c>
      <c r="C5" s="51" t="s">
        <v>274</v>
      </c>
      <c r="D5" s="51" t="s">
        <v>273</v>
      </c>
      <c r="E5" s="51" t="s">
        <v>274</v>
      </c>
      <c r="F5" s="51" t="s">
        <v>273</v>
      </c>
      <c r="G5" s="51" t="s">
        <v>274</v>
      </c>
      <c r="H5" s="51" t="s">
        <v>273</v>
      </c>
      <c r="I5" s="51" t="s">
        <v>274</v>
      </c>
      <c r="J5" s="51" t="s">
        <v>273</v>
      </c>
      <c r="K5" s="51" t="s">
        <v>274</v>
      </c>
      <c r="L5" s="51" t="s">
        <v>273</v>
      </c>
      <c r="M5" s="51" t="s">
        <v>274</v>
      </c>
      <c r="N5" s="51" t="s">
        <v>273</v>
      </c>
      <c r="O5" s="51" t="s">
        <v>273</v>
      </c>
      <c r="P5" s="51" t="s">
        <v>274</v>
      </c>
      <c r="Q5" s="51" t="s">
        <v>273</v>
      </c>
      <c r="R5" s="51" t="s">
        <v>274</v>
      </c>
      <c r="S5" s="51" t="s">
        <v>273</v>
      </c>
      <c r="T5" s="51" t="s">
        <v>274</v>
      </c>
      <c r="U5" s="50" t="s">
        <v>275</v>
      </c>
      <c r="V5" s="50" t="s">
        <v>376</v>
      </c>
      <c r="W5" s="51"/>
    </row>
    <row r="6" spans="1:23">
      <c r="B6" s="52">
        <v>7.1</v>
      </c>
      <c r="C6" s="51" t="s">
        <v>11</v>
      </c>
      <c r="D6" s="52">
        <v>7.5</v>
      </c>
      <c r="E6" s="51" t="s">
        <v>11</v>
      </c>
      <c r="F6" s="52">
        <v>7.9</v>
      </c>
      <c r="G6" s="45" t="s">
        <v>11</v>
      </c>
      <c r="H6" s="52">
        <v>6.7249999999999996</v>
      </c>
      <c r="I6" s="51" t="s">
        <v>11</v>
      </c>
      <c r="J6" s="52">
        <v>6.4</v>
      </c>
      <c r="K6" s="51" t="s">
        <v>11</v>
      </c>
      <c r="L6" s="52">
        <v>7</v>
      </c>
      <c r="M6" s="51" t="s">
        <v>11</v>
      </c>
      <c r="N6" s="52">
        <v>5.6</v>
      </c>
      <c r="O6" s="52">
        <v>5.6</v>
      </c>
      <c r="P6" s="51" t="s">
        <v>11</v>
      </c>
      <c r="Q6" s="52">
        <v>7</v>
      </c>
      <c r="R6" s="51" t="s">
        <v>11</v>
      </c>
      <c r="S6" s="52">
        <v>6.54</v>
      </c>
      <c r="T6" s="51" t="s">
        <v>11</v>
      </c>
      <c r="U6" s="53" t="s">
        <v>376</v>
      </c>
      <c r="V6" s="50" t="s">
        <v>23</v>
      </c>
      <c r="W6" s="45"/>
    </row>
    <row r="7" spans="1:23">
      <c r="B7" s="51" t="s">
        <v>276</v>
      </c>
      <c r="C7" s="51" t="s">
        <v>253</v>
      </c>
      <c r="D7" s="51" t="s">
        <v>276</v>
      </c>
      <c r="E7" s="51" t="s">
        <v>253</v>
      </c>
      <c r="F7" s="51" t="s">
        <v>276</v>
      </c>
      <c r="G7" s="51" t="s">
        <v>253</v>
      </c>
      <c r="I7" s="51" t="s">
        <v>253</v>
      </c>
      <c r="J7" s="51" t="s">
        <v>277</v>
      </c>
      <c r="K7" s="51" t="s">
        <v>253</v>
      </c>
      <c r="L7" s="51" t="s">
        <v>278</v>
      </c>
      <c r="M7" s="51" t="s">
        <v>253</v>
      </c>
      <c r="P7" s="51" t="s">
        <v>253</v>
      </c>
      <c r="R7" s="51" t="s">
        <v>253</v>
      </c>
      <c r="S7" s="51" t="s">
        <v>279</v>
      </c>
      <c r="T7" s="51" t="s">
        <v>253</v>
      </c>
      <c r="U7" s="50" t="s">
        <v>25</v>
      </c>
      <c r="V7" s="50" t="s">
        <v>280</v>
      </c>
      <c r="W7" s="51"/>
    </row>
    <row r="8" spans="1:23">
      <c r="A8" s="45" t="s">
        <v>148</v>
      </c>
      <c r="B8" s="51" t="s">
        <v>281</v>
      </c>
      <c r="C8" s="54" t="s">
        <v>23</v>
      </c>
      <c r="D8" s="51" t="s">
        <v>282</v>
      </c>
      <c r="E8" s="54" t="s">
        <v>23</v>
      </c>
      <c r="F8" s="51" t="s">
        <v>283</v>
      </c>
      <c r="G8" s="54" t="s">
        <v>23</v>
      </c>
      <c r="H8" s="45" t="s">
        <v>240</v>
      </c>
      <c r="I8" s="54" t="s">
        <v>23</v>
      </c>
      <c r="J8" s="51" t="s">
        <v>284</v>
      </c>
      <c r="K8" s="54" t="s">
        <v>23</v>
      </c>
      <c r="L8" s="51" t="s">
        <v>276</v>
      </c>
      <c r="M8" s="54" t="s">
        <v>23</v>
      </c>
      <c r="N8" s="51" t="s">
        <v>285</v>
      </c>
      <c r="O8" s="45" t="s">
        <v>375</v>
      </c>
      <c r="P8" s="54" t="s">
        <v>23</v>
      </c>
      <c r="Q8" s="51" t="s">
        <v>286</v>
      </c>
      <c r="R8" s="54" t="s">
        <v>23</v>
      </c>
      <c r="S8" s="51" t="s">
        <v>287</v>
      </c>
      <c r="T8" s="54" t="s">
        <v>23</v>
      </c>
      <c r="U8" s="54" t="s">
        <v>23</v>
      </c>
      <c r="V8" s="50" t="s">
        <v>26</v>
      </c>
      <c r="W8" s="51"/>
    </row>
    <row r="9" spans="1:23" s="54" customFormat="1">
      <c r="A9" s="45" t="s">
        <v>288</v>
      </c>
      <c r="B9" s="51" t="s">
        <v>289</v>
      </c>
      <c r="C9" s="51" t="s">
        <v>186</v>
      </c>
      <c r="D9" s="51" t="s">
        <v>183</v>
      </c>
      <c r="E9" s="51" t="s">
        <v>186</v>
      </c>
      <c r="F9" s="51" t="s">
        <v>181</v>
      </c>
      <c r="G9" s="51" t="s">
        <v>186</v>
      </c>
      <c r="H9" s="51" t="s">
        <v>181</v>
      </c>
      <c r="I9" s="51" t="s">
        <v>186</v>
      </c>
      <c r="J9" s="51" t="s">
        <v>186</v>
      </c>
      <c r="K9" s="51" t="s">
        <v>186</v>
      </c>
      <c r="L9" s="51" t="s">
        <v>186</v>
      </c>
      <c r="M9" s="51" t="s">
        <v>186</v>
      </c>
      <c r="N9" s="51" t="s">
        <v>181</v>
      </c>
      <c r="O9" s="51" t="s">
        <v>187</v>
      </c>
      <c r="P9" s="51" t="s">
        <v>186</v>
      </c>
      <c r="Q9" s="51" t="s">
        <v>187</v>
      </c>
      <c r="R9" s="51" t="s">
        <v>186</v>
      </c>
      <c r="S9" s="51" t="s">
        <v>181</v>
      </c>
      <c r="T9" s="51" t="s">
        <v>186</v>
      </c>
      <c r="U9" s="50" t="s">
        <v>290</v>
      </c>
      <c r="V9" s="50" t="s">
        <v>183</v>
      </c>
      <c r="W9" s="51"/>
    </row>
    <row r="10" spans="1:23" ht="17.100000000000001" customHeight="1">
      <c r="A10" s="45" t="s">
        <v>31</v>
      </c>
      <c r="B10" s="52">
        <v>1017</v>
      </c>
      <c r="C10" s="55">
        <f t="shared" ref="C10:C23" si="0">SUM(B10*7.1)/2000</f>
        <v>3.6103499999999999</v>
      </c>
      <c r="D10" s="52">
        <v>0</v>
      </c>
      <c r="E10" s="55">
        <f t="shared" ref="E10:E23" si="1">SUM(D10*7.5)/2000</f>
        <v>0</v>
      </c>
      <c r="F10" s="52">
        <v>0</v>
      </c>
      <c r="G10" s="55">
        <f t="shared" ref="G10:G23" si="2">SUM(F10*7.9)/2000</f>
        <v>0</v>
      </c>
      <c r="H10" s="52">
        <v>0</v>
      </c>
      <c r="I10" s="55">
        <f t="shared" ref="I10:I23" si="3">SUM(H10*6.725)/2000</f>
        <v>0</v>
      </c>
      <c r="J10" s="52">
        <v>15</v>
      </c>
      <c r="K10" s="55">
        <f t="shared" ref="K10:K23" si="4">SUM(J10*6.4)/2000</f>
        <v>4.8000000000000001E-2</v>
      </c>
      <c r="L10" s="52">
        <v>0</v>
      </c>
      <c r="M10" s="56">
        <f t="shared" ref="M10:M23" si="5">SUM(L10*7)/2000</f>
        <v>0</v>
      </c>
      <c r="N10" s="52">
        <v>145</v>
      </c>
      <c r="O10" s="52">
        <v>11055</v>
      </c>
      <c r="P10" s="55">
        <f t="shared" ref="P10:P23" si="6">SUM(N10,O10)*(5.6)/2000</f>
        <v>31.359999999999996</v>
      </c>
      <c r="Q10" s="52">
        <v>20</v>
      </c>
      <c r="R10" s="55">
        <f t="shared" ref="R10:R23" si="7">SUM(Q10*7)/2000</f>
        <v>7.0000000000000007E-2</v>
      </c>
      <c r="S10" s="52">
        <v>0</v>
      </c>
      <c r="T10" s="55">
        <f t="shared" ref="T10:T23" si="8">SUM(S10*6.54)/2000</f>
        <v>0</v>
      </c>
      <c r="U10" s="57">
        <f t="shared" ref="U10:U23" si="9">SUM(C10,E10,G10,I10,K10,M10,P10,R10,T10)</f>
        <v>35.088349999999998</v>
      </c>
      <c r="V10" s="58">
        <f t="shared" ref="V10:V23" si="10">SUM(U10/365)</f>
        <v>9.6132465753424656E-2</v>
      </c>
      <c r="W10" s="59"/>
    </row>
    <row r="11" spans="1:23" ht="17.100000000000001" customHeight="1">
      <c r="A11" s="45" t="s">
        <v>32</v>
      </c>
      <c r="B11" s="52">
        <v>50</v>
      </c>
      <c r="C11" s="55">
        <f t="shared" si="0"/>
        <v>0.17749999999999999</v>
      </c>
      <c r="D11" s="52">
        <v>0</v>
      </c>
      <c r="E11" s="55">
        <f t="shared" si="1"/>
        <v>0</v>
      </c>
      <c r="F11" s="52">
        <v>0</v>
      </c>
      <c r="G11" s="55">
        <f t="shared" si="2"/>
        <v>0</v>
      </c>
      <c r="H11" s="52">
        <v>0</v>
      </c>
      <c r="I11" s="55">
        <f t="shared" si="3"/>
        <v>0</v>
      </c>
      <c r="J11" s="52">
        <v>0</v>
      </c>
      <c r="K11" s="55">
        <f t="shared" si="4"/>
        <v>0</v>
      </c>
      <c r="L11" s="52">
        <v>0</v>
      </c>
      <c r="M11" s="56">
        <f t="shared" si="5"/>
        <v>0</v>
      </c>
      <c r="N11" s="52">
        <v>260</v>
      </c>
      <c r="O11" s="52">
        <v>82</v>
      </c>
      <c r="P11" s="55">
        <f t="shared" si="6"/>
        <v>0.9575999999999999</v>
      </c>
      <c r="Q11" s="52">
        <v>0</v>
      </c>
      <c r="R11" s="55">
        <f t="shared" si="7"/>
        <v>0</v>
      </c>
      <c r="S11" s="52">
        <v>0</v>
      </c>
      <c r="T11" s="55">
        <f t="shared" si="8"/>
        <v>0</v>
      </c>
      <c r="U11" s="57">
        <f t="shared" si="9"/>
        <v>1.1351</v>
      </c>
      <c r="V11" s="58">
        <f t="shared" si="10"/>
        <v>3.1098630136986299E-3</v>
      </c>
      <c r="W11" s="59"/>
    </row>
    <row r="12" spans="1:23" ht="17.100000000000001" customHeight="1">
      <c r="A12" s="45" t="s">
        <v>33</v>
      </c>
      <c r="B12" s="52">
        <v>1729</v>
      </c>
      <c r="C12" s="55">
        <f t="shared" si="0"/>
        <v>6.13795</v>
      </c>
      <c r="D12" s="52">
        <v>0</v>
      </c>
      <c r="E12" s="55">
        <f t="shared" si="1"/>
        <v>0</v>
      </c>
      <c r="F12" s="52">
        <v>0</v>
      </c>
      <c r="G12" s="55">
        <f t="shared" si="2"/>
        <v>0</v>
      </c>
      <c r="H12" s="52">
        <v>0</v>
      </c>
      <c r="I12" s="55">
        <f t="shared" si="3"/>
        <v>0</v>
      </c>
      <c r="J12" s="52">
        <v>0</v>
      </c>
      <c r="K12" s="55">
        <f t="shared" si="4"/>
        <v>0</v>
      </c>
      <c r="L12" s="52">
        <v>0</v>
      </c>
      <c r="M12" s="56">
        <f t="shared" si="5"/>
        <v>0</v>
      </c>
      <c r="N12" s="52">
        <v>1152</v>
      </c>
      <c r="O12" s="52">
        <v>80</v>
      </c>
      <c r="P12" s="55">
        <f t="shared" si="6"/>
        <v>3.4495999999999998</v>
      </c>
      <c r="Q12" s="52">
        <v>0</v>
      </c>
      <c r="R12" s="55">
        <f t="shared" si="7"/>
        <v>0</v>
      </c>
      <c r="S12" s="52">
        <v>0</v>
      </c>
      <c r="T12" s="55">
        <f t="shared" si="8"/>
        <v>0</v>
      </c>
      <c r="U12" s="57">
        <f t="shared" si="9"/>
        <v>9.5875500000000002</v>
      </c>
      <c r="V12" s="58">
        <f t="shared" si="10"/>
        <v>2.6267260273972602E-2</v>
      </c>
      <c r="W12" s="59"/>
    </row>
    <row r="13" spans="1:23" ht="17.100000000000001" customHeight="1">
      <c r="A13" s="45" t="s">
        <v>34</v>
      </c>
      <c r="B13" s="52">
        <v>465</v>
      </c>
      <c r="C13" s="55">
        <f t="shared" si="0"/>
        <v>1.6507499999999999</v>
      </c>
      <c r="D13" s="52">
        <v>0</v>
      </c>
      <c r="E13" s="55">
        <f t="shared" si="1"/>
        <v>0</v>
      </c>
      <c r="F13" s="52">
        <v>0</v>
      </c>
      <c r="G13" s="55">
        <f t="shared" si="2"/>
        <v>0</v>
      </c>
      <c r="H13" s="52">
        <v>0</v>
      </c>
      <c r="I13" s="55">
        <f t="shared" si="3"/>
        <v>0</v>
      </c>
      <c r="J13" s="52">
        <v>35</v>
      </c>
      <c r="K13" s="55">
        <f t="shared" si="4"/>
        <v>0.112</v>
      </c>
      <c r="L13" s="52">
        <v>0</v>
      </c>
      <c r="M13" s="56">
        <f t="shared" si="5"/>
        <v>0</v>
      </c>
      <c r="N13" s="52">
        <v>0</v>
      </c>
      <c r="O13" s="52">
        <v>10</v>
      </c>
      <c r="P13" s="55">
        <f t="shared" si="6"/>
        <v>2.8000000000000001E-2</v>
      </c>
      <c r="Q13" s="52">
        <v>100</v>
      </c>
      <c r="R13" s="55">
        <f t="shared" si="7"/>
        <v>0.35</v>
      </c>
      <c r="S13" s="52">
        <v>0</v>
      </c>
      <c r="T13" s="55">
        <f t="shared" si="8"/>
        <v>0</v>
      </c>
      <c r="U13" s="57">
        <f t="shared" si="9"/>
        <v>2.1407500000000002</v>
      </c>
      <c r="V13" s="58">
        <f t="shared" si="10"/>
        <v>5.8650684931506854E-3</v>
      </c>
      <c r="W13" s="59"/>
    </row>
    <row r="14" spans="1:23" ht="17.100000000000001" customHeight="1">
      <c r="A14" s="45" t="s">
        <v>35</v>
      </c>
      <c r="B14" s="52">
        <v>2017</v>
      </c>
      <c r="C14" s="55">
        <f t="shared" si="0"/>
        <v>7.1603499999999993</v>
      </c>
      <c r="D14" s="52">
        <v>273</v>
      </c>
      <c r="E14" s="55">
        <f t="shared" si="1"/>
        <v>1.0237499999999999</v>
      </c>
      <c r="F14" s="52">
        <v>0</v>
      </c>
      <c r="G14" s="55">
        <f t="shared" si="2"/>
        <v>0</v>
      </c>
      <c r="H14" s="52">
        <v>10</v>
      </c>
      <c r="I14" s="55">
        <f t="shared" si="3"/>
        <v>3.3625000000000002E-2</v>
      </c>
      <c r="J14" s="52">
        <v>0</v>
      </c>
      <c r="K14" s="55">
        <f t="shared" si="4"/>
        <v>0</v>
      </c>
      <c r="L14" s="52">
        <v>0</v>
      </c>
      <c r="M14" s="56">
        <f t="shared" si="5"/>
        <v>0</v>
      </c>
      <c r="N14" s="52">
        <v>1240</v>
      </c>
      <c r="O14" s="52">
        <v>10012</v>
      </c>
      <c r="P14" s="55">
        <f t="shared" si="6"/>
        <v>31.505599999999998</v>
      </c>
      <c r="Q14" s="52">
        <v>20</v>
      </c>
      <c r="R14" s="55">
        <f t="shared" si="7"/>
        <v>7.0000000000000007E-2</v>
      </c>
      <c r="S14" s="52">
        <v>100</v>
      </c>
      <c r="T14" s="55">
        <f t="shared" si="8"/>
        <v>0.32700000000000001</v>
      </c>
      <c r="U14" s="57">
        <f t="shared" si="9"/>
        <v>40.120324999999994</v>
      </c>
      <c r="V14" s="58">
        <f t="shared" si="10"/>
        <v>0.10991869863013697</v>
      </c>
      <c r="W14" s="59"/>
    </row>
    <row r="15" spans="1:23" ht="17.100000000000001" customHeight="1">
      <c r="A15" s="45" t="s">
        <v>36</v>
      </c>
      <c r="B15" s="52">
        <v>540</v>
      </c>
      <c r="C15" s="55">
        <f t="shared" si="0"/>
        <v>1.917</v>
      </c>
      <c r="D15" s="52">
        <v>130</v>
      </c>
      <c r="E15" s="55">
        <f t="shared" si="1"/>
        <v>0.48749999999999999</v>
      </c>
      <c r="F15" s="52">
        <v>0</v>
      </c>
      <c r="G15" s="55">
        <f t="shared" si="2"/>
        <v>0</v>
      </c>
      <c r="H15" s="52">
        <v>375</v>
      </c>
      <c r="I15" s="55">
        <f t="shared" si="3"/>
        <v>1.2609375</v>
      </c>
      <c r="J15" s="52">
        <v>43</v>
      </c>
      <c r="K15" s="55">
        <f t="shared" si="4"/>
        <v>0.1376</v>
      </c>
      <c r="L15" s="52">
        <v>0</v>
      </c>
      <c r="M15" s="56">
        <f t="shared" si="5"/>
        <v>0</v>
      </c>
      <c r="N15" s="52">
        <v>0</v>
      </c>
      <c r="O15" s="52">
        <v>0</v>
      </c>
      <c r="P15" s="55">
        <f t="shared" si="6"/>
        <v>0</v>
      </c>
      <c r="Q15" s="52">
        <v>0</v>
      </c>
      <c r="R15" s="55">
        <f t="shared" si="7"/>
        <v>0</v>
      </c>
      <c r="S15" s="52">
        <v>0</v>
      </c>
      <c r="T15" s="55">
        <f t="shared" si="8"/>
        <v>0</v>
      </c>
      <c r="U15" s="57">
        <f t="shared" si="9"/>
        <v>3.8030375000000003</v>
      </c>
      <c r="V15" s="58">
        <f t="shared" si="10"/>
        <v>1.0419280821917809E-2</v>
      </c>
      <c r="W15" s="59"/>
    </row>
    <row r="16" spans="1:23" ht="17.100000000000001" customHeight="1">
      <c r="A16" s="45" t="s">
        <v>37</v>
      </c>
      <c r="B16" s="52">
        <v>1681</v>
      </c>
      <c r="C16" s="55">
        <f t="shared" si="0"/>
        <v>5.9675499999999992</v>
      </c>
      <c r="D16" s="52">
        <v>0</v>
      </c>
      <c r="E16" s="55">
        <f t="shared" si="1"/>
        <v>0</v>
      </c>
      <c r="F16" s="52">
        <v>0</v>
      </c>
      <c r="G16" s="55">
        <f t="shared" si="2"/>
        <v>0</v>
      </c>
      <c r="H16" s="52">
        <v>50</v>
      </c>
      <c r="I16" s="55">
        <f t="shared" si="3"/>
        <v>0.168125</v>
      </c>
      <c r="J16" s="52">
        <v>0</v>
      </c>
      <c r="K16" s="55">
        <f t="shared" si="4"/>
        <v>0</v>
      </c>
      <c r="L16" s="52">
        <v>21</v>
      </c>
      <c r="M16" s="56">
        <f t="shared" si="5"/>
        <v>7.3499999999999996E-2</v>
      </c>
      <c r="N16" s="52">
        <v>648</v>
      </c>
      <c r="O16" s="52">
        <v>29</v>
      </c>
      <c r="P16" s="55">
        <f t="shared" si="6"/>
        <v>1.8956</v>
      </c>
      <c r="Q16" s="52">
        <v>200</v>
      </c>
      <c r="R16" s="55">
        <f t="shared" si="7"/>
        <v>0.7</v>
      </c>
      <c r="S16" s="52">
        <v>0</v>
      </c>
      <c r="T16" s="55">
        <f t="shared" si="8"/>
        <v>0</v>
      </c>
      <c r="U16" s="57">
        <f t="shared" si="9"/>
        <v>8.8047749999999994</v>
      </c>
      <c r="V16" s="58">
        <f t="shared" si="10"/>
        <v>2.4122671232876709E-2</v>
      </c>
      <c r="W16" s="59"/>
    </row>
    <row r="17" spans="1:23" ht="17.100000000000001" customHeight="1">
      <c r="A17" s="45" t="s">
        <v>38</v>
      </c>
      <c r="B17" s="52">
        <v>520</v>
      </c>
      <c r="C17" s="55">
        <f t="shared" si="0"/>
        <v>1.8460000000000001</v>
      </c>
      <c r="D17" s="52">
        <v>0</v>
      </c>
      <c r="E17" s="55">
        <f t="shared" si="1"/>
        <v>0</v>
      </c>
      <c r="F17" s="52">
        <v>0</v>
      </c>
      <c r="G17" s="55">
        <f t="shared" si="2"/>
        <v>0</v>
      </c>
      <c r="H17" s="52">
        <v>0</v>
      </c>
      <c r="I17" s="55">
        <f t="shared" si="3"/>
        <v>0</v>
      </c>
      <c r="J17" s="52">
        <v>0</v>
      </c>
      <c r="K17" s="55">
        <f t="shared" si="4"/>
        <v>0</v>
      </c>
      <c r="L17" s="52">
        <v>0</v>
      </c>
      <c r="M17" s="56">
        <f t="shared" si="5"/>
        <v>0</v>
      </c>
      <c r="N17" s="52">
        <v>212</v>
      </c>
      <c r="O17" s="52">
        <v>15</v>
      </c>
      <c r="P17" s="55">
        <f t="shared" si="6"/>
        <v>0.63559999999999994</v>
      </c>
      <c r="Q17" s="52">
        <v>0</v>
      </c>
      <c r="R17" s="55">
        <f t="shared" si="7"/>
        <v>0</v>
      </c>
      <c r="S17" s="52">
        <v>0</v>
      </c>
      <c r="T17" s="55">
        <f t="shared" si="8"/>
        <v>0</v>
      </c>
      <c r="U17" s="57">
        <f t="shared" si="9"/>
        <v>2.4816000000000003</v>
      </c>
      <c r="V17" s="58">
        <f t="shared" si="10"/>
        <v>6.7989041095890415E-3</v>
      </c>
      <c r="W17" s="59"/>
    </row>
    <row r="18" spans="1:23" ht="17.100000000000001" customHeight="1">
      <c r="A18" s="45" t="s">
        <v>39</v>
      </c>
      <c r="B18" s="52">
        <v>1586</v>
      </c>
      <c r="C18" s="55">
        <f t="shared" si="0"/>
        <v>5.6302999999999992</v>
      </c>
      <c r="D18" s="52">
        <v>0</v>
      </c>
      <c r="E18" s="55">
        <f t="shared" si="1"/>
        <v>0</v>
      </c>
      <c r="F18" s="52">
        <v>100</v>
      </c>
      <c r="G18" s="55">
        <f t="shared" si="2"/>
        <v>0.39500000000000002</v>
      </c>
      <c r="H18" s="52">
        <v>582</v>
      </c>
      <c r="I18" s="55">
        <f t="shared" si="3"/>
        <v>1.9569749999999999</v>
      </c>
      <c r="J18" s="52">
        <v>0</v>
      </c>
      <c r="K18" s="55">
        <f t="shared" si="4"/>
        <v>0</v>
      </c>
      <c r="L18" s="52">
        <v>7</v>
      </c>
      <c r="M18" s="56">
        <f t="shared" si="5"/>
        <v>2.4500000000000001E-2</v>
      </c>
      <c r="N18" s="52">
        <v>2569</v>
      </c>
      <c r="O18" s="52">
        <v>214</v>
      </c>
      <c r="P18" s="55">
        <f t="shared" si="6"/>
        <v>7.7923999999999998</v>
      </c>
      <c r="Q18" s="52">
        <v>0</v>
      </c>
      <c r="R18" s="55">
        <f t="shared" si="7"/>
        <v>0</v>
      </c>
      <c r="S18" s="52">
        <v>0</v>
      </c>
      <c r="T18" s="55">
        <f t="shared" si="8"/>
        <v>0</v>
      </c>
      <c r="U18" s="57">
        <f t="shared" si="9"/>
        <v>15.799174999999998</v>
      </c>
      <c r="V18" s="58">
        <f t="shared" si="10"/>
        <v>4.3285410958904105E-2</v>
      </c>
      <c r="W18" s="59"/>
    </row>
    <row r="19" spans="1:23" ht="17.100000000000001" customHeight="1">
      <c r="A19" s="45" t="s">
        <v>40</v>
      </c>
      <c r="B19" s="52">
        <v>25</v>
      </c>
      <c r="C19" s="55">
        <f t="shared" si="0"/>
        <v>8.8749999999999996E-2</v>
      </c>
      <c r="D19" s="52">
        <v>0</v>
      </c>
      <c r="E19" s="55">
        <f t="shared" si="1"/>
        <v>0</v>
      </c>
      <c r="F19" s="52">
        <v>0</v>
      </c>
      <c r="G19" s="55">
        <f t="shared" si="2"/>
        <v>0</v>
      </c>
      <c r="H19" s="52">
        <v>0</v>
      </c>
      <c r="I19" s="55">
        <f t="shared" si="3"/>
        <v>0</v>
      </c>
      <c r="J19" s="52">
        <v>0</v>
      </c>
      <c r="K19" s="55">
        <f t="shared" si="4"/>
        <v>0</v>
      </c>
      <c r="L19" s="52">
        <v>0</v>
      </c>
      <c r="M19" s="56">
        <f t="shared" si="5"/>
        <v>0</v>
      </c>
      <c r="N19" s="52">
        <v>55</v>
      </c>
      <c r="O19" s="52">
        <v>0</v>
      </c>
      <c r="P19" s="55">
        <f t="shared" si="6"/>
        <v>0.154</v>
      </c>
      <c r="Q19" s="52">
        <v>0</v>
      </c>
      <c r="R19" s="55">
        <f t="shared" si="7"/>
        <v>0</v>
      </c>
      <c r="S19" s="52">
        <v>0</v>
      </c>
      <c r="T19" s="55">
        <f t="shared" si="8"/>
        <v>0</v>
      </c>
      <c r="U19" s="57">
        <f t="shared" si="9"/>
        <v>0.24274999999999999</v>
      </c>
      <c r="V19" s="58">
        <f t="shared" si="10"/>
        <v>6.6506849315068489E-4</v>
      </c>
      <c r="W19" s="59"/>
    </row>
    <row r="20" spans="1:23" ht="17.100000000000001" customHeight="1">
      <c r="A20" s="45" t="s">
        <v>41</v>
      </c>
      <c r="B20" s="52">
        <v>1505</v>
      </c>
      <c r="C20" s="55">
        <f t="shared" si="0"/>
        <v>5.3427499999999997</v>
      </c>
      <c r="D20" s="52">
        <v>0</v>
      </c>
      <c r="E20" s="55">
        <f t="shared" si="1"/>
        <v>0</v>
      </c>
      <c r="F20" s="52">
        <v>0</v>
      </c>
      <c r="G20" s="55">
        <f t="shared" si="2"/>
        <v>0</v>
      </c>
      <c r="H20" s="52">
        <v>0</v>
      </c>
      <c r="I20" s="55">
        <f t="shared" si="3"/>
        <v>0</v>
      </c>
      <c r="J20" s="52">
        <v>0</v>
      </c>
      <c r="K20" s="55">
        <f t="shared" si="4"/>
        <v>0</v>
      </c>
      <c r="L20" s="52">
        <v>0</v>
      </c>
      <c r="M20" s="56">
        <f t="shared" si="5"/>
        <v>0</v>
      </c>
      <c r="N20" s="52">
        <v>235</v>
      </c>
      <c r="O20" s="52">
        <v>115</v>
      </c>
      <c r="P20" s="55">
        <f t="shared" si="6"/>
        <v>0.97999999999999987</v>
      </c>
      <c r="Q20" s="52">
        <v>0</v>
      </c>
      <c r="R20" s="55">
        <f t="shared" si="7"/>
        <v>0</v>
      </c>
      <c r="S20" s="52">
        <v>0</v>
      </c>
      <c r="T20" s="55">
        <f t="shared" si="8"/>
        <v>0</v>
      </c>
      <c r="U20" s="57">
        <f t="shared" si="9"/>
        <v>6.3227499999999992</v>
      </c>
      <c r="V20" s="58">
        <f t="shared" si="10"/>
        <v>1.7322602739726026E-2</v>
      </c>
      <c r="W20" s="59"/>
    </row>
    <row r="21" spans="1:23" ht="17.100000000000001" customHeight="1">
      <c r="A21" s="45" t="s">
        <v>42</v>
      </c>
      <c r="B21" s="52">
        <v>605</v>
      </c>
      <c r="C21" s="55">
        <f t="shared" si="0"/>
        <v>2.1477499999999998</v>
      </c>
      <c r="D21" s="52">
        <v>0</v>
      </c>
      <c r="E21" s="55">
        <f t="shared" si="1"/>
        <v>0</v>
      </c>
      <c r="F21" s="52">
        <v>0</v>
      </c>
      <c r="G21" s="55">
        <f t="shared" si="2"/>
        <v>0</v>
      </c>
      <c r="H21" s="52">
        <v>0</v>
      </c>
      <c r="I21" s="55">
        <f t="shared" si="3"/>
        <v>0</v>
      </c>
      <c r="J21" s="52">
        <v>0</v>
      </c>
      <c r="K21" s="55">
        <f t="shared" si="4"/>
        <v>0</v>
      </c>
      <c r="L21" s="52">
        <v>0</v>
      </c>
      <c r="M21" s="56">
        <f t="shared" si="5"/>
        <v>0</v>
      </c>
      <c r="N21" s="52">
        <v>480</v>
      </c>
      <c r="O21" s="52">
        <v>0</v>
      </c>
      <c r="P21" s="55">
        <f t="shared" si="6"/>
        <v>1.3440000000000001</v>
      </c>
      <c r="Q21" s="52">
        <v>0</v>
      </c>
      <c r="R21" s="55">
        <f t="shared" si="7"/>
        <v>0</v>
      </c>
      <c r="S21" s="52">
        <v>0</v>
      </c>
      <c r="T21" s="55">
        <f t="shared" si="8"/>
        <v>0</v>
      </c>
      <c r="U21" s="57">
        <f t="shared" si="9"/>
        <v>3.4917499999999997</v>
      </c>
      <c r="V21" s="58">
        <f t="shared" si="10"/>
        <v>9.5664383561643827E-3</v>
      </c>
      <c r="W21" s="59"/>
    </row>
    <row r="22" spans="1:23" ht="17.100000000000001" customHeight="1">
      <c r="A22" s="45" t="s">
        <v>43</v>
      </c>
      <c r="B22" s="52">
        <v>3898</v>
      </c>
      <c r="C22" s="55">
        <f t="shared" si="0"/>
        <v>13.837899999999999</v>
      </c>
      <c r="D22" s="52">
        <v>40</v>
      </c>
      <c r="E22" s="55">
        <f t="shared" si="1"/>
        <v>0.15</v>
      </c>
      <c r="F22" s="52">
        <v>65</v>
      </c>
      <c r="G22" s="55">
        <f t="shared" si="2"/>
        <v>0.25674999999999998</v>
      </c>
      <c r="H22" s="52">
        <v>0</v>
      </c>
      <c r="I22" s="55">
        <f t="shared" si="3"/>
        <v>0</v>
      </c>
      <c r="J22" s="52">
        <v>0</v>
      </c>
      <c r="K22" s="55">
        <f t="shared" si="4"/>
        <v>0</v>
      </c>
      <c r="L22" s="52">
        <v>249</v>
      </c>
      <c r="M22" s="56">
        <f t="shared" si="5"/>
        <v>0.87150000000000005</v>
      </c>
      <c r="N22" s="52">
        <v>1019</v>
      </c>
      <c r="O22" s="52">
        <v>89</v>
      </c>
      <c r="P22" s="55">
        <f t="shared" si="6"/>
        <v>3.1023999999999998</v>
      </c>
      <c r="Q22" s="52">
        <v>0</v>
      </c>
      <c r="R22" s="55">
        <f t="shared" si="7"/>
        <v>0</v>
      </c>
      <c r="S22" s="52">
        <v>30</v>
      </c>
      <c r="T22" s="55">
        <f t="shared" si="8"/>
        <v>9.8099999999999993E-2</v>
      </c>
      <c r="U22" s="57">
        <f t="shared" si="9"/>
        <v>18.316649999999999</v>
      </c>
      <c r="V22" s="58">
        <f t="shared" si="10"/>
        <v>5.0182602739726023E-2</v>
      </c>
      <c r="W22" s="59"/>
    </row>
    <row r="23" spans="1:23" ht="17.100000000000001" customHeight="1">
      <c r="A23" s="45" t="s">
        <v>117</v>
      </c>
      <c r="B23" s="52">
        <v>1790</v>
      </c>
      <c r="C23" s="55">
        <f t="shared" si="0"/>
        <v>6.3544999999999998</v>
      </c>
      <c r="D23" s="52">
        <v>154</v>
      </c>
      <c r="E23" s="55">
        <f t="shared" si="1"/>
        <v>0.57750000000000001</v>
      </c>
      <c r="F23" s="52">
        <v>0</v>
      </c>
      <c r="G23" s="55">
        <f t="shared" si="2"/>
        <v>0</v>
      </c>
      <c r="H23" s="52">
        <v>40</v>
      </c>
      <c r="I23" s="55">
        <f t="shared" si="3"/>
        <v>0.13450000000000001</v>
      </c>
      <c r="J23" s="52">
        <v>0</v>
      </c>
      <c r="K23" s="55">
        <f t="shared" si="4"/>
        <v>0</v>
      </c>
      <c r="L23" s="52">
        <v>0</v>
      </c>
      <c r="M23" s="56">
        <f t="shared" si="5"/>
        <v>0</v>
      </c>
      <c r="N23" s="52">
        <v>1755</v>
      </c>
      <c r="O23" s="52">
        <v>345</v>
      </c>
      <c r="P23" s="55">
        <f t="shared" si="6"/>
        <v>5.88</v>
      </c>
      <c r="Q23" s="52">
        <v>370</v>
      </c>
      <c r="R23" s="55">
        <f t="shared" si="7"/>
        <v>1.2949999999999999</v>
      </c>
      <c r="S23" s="52">
        <v>0</v>
      </c>
      <c r="T23" s="55">
        <f t="shared" si="8"/>
        <v>0</v>
      </c>
      <c r="U23" s="57">
        <f t="shared" si="9"/>
        <v>14.2415</v>
      </c>
      <c r="V23" s="58">
        <f t="shared" si="10"/>
        <v>3.901780821917808E-2</v>
      </c>
      <c r="W23" s="59"/>
    </row>
    <row r="24" spans="1:23" ht="17.100000000000001" customHeight="1">
      <c r="C24" s="55"/>
      <c r="E24" s="55"/>
      <c r="G24" s="55"/>
      <c r="I24" s="55"/>
      <c r="K24" s="55"/>
      <c r="M24" s="60"/>
      <c r="P24" s="55"/>
      <c r="R24" s="55"/>
      <c r="T24" s="55"/>
      <c r="U24" s="57"/>
      <c r="V24" s="58"/>
      <c r="W24" s="59"/>
    </row>
    <row r="25" spans="1:23" s="65" customFormat="1" ht="17.100000000000001" customHeight="1">
      <c r="A25" s="61" t="s">
        <v>199</v>
      </c>
      <c r="B25" s="62">
        <f>SUM(B10:B23)</f>
        <v>17428</v>
      </c>
      <c r="C25" s="57">
        <f>SUM(B25*7.1)/2000</f>
        <v>61.869399999999992</v>
      </c>
      <c r="D25" s="62">
        <f>SUM(D10:D23)</f>
        <v>597</v>
      </c>
      <c r="E25" s="57">
        <f>SUM(D25*7.5)/2000</f>
        <v>2.23875</v>
      </c>
      <c r="F25" s="62">
        <f>SUM(F10:F23)</f>
        <v>165</v>
      </c>
      <c r="G25" s="57">
        <f>SUM(F25*7.9)/2000</f>
        <v>0.65175000000000005</v>
      </c>
      <c r="H25" s="62">
        <f>SUM(H10:H23)</f>
        <v>1057</v>
      </c>
      <c r="I25" s="57">
        <f>SUM(H25*6.725)/2000</f>
        <v>3.5541624999999999</v>
      </c>
      <c r="J25" s="62">
        <f>SUM(J10:J23)</f>
        <v>93</v>
      </c>
      <c r="K25" s="57">
        <f>SUM(J25*6.4)/2000</f>
        <v>0.29760000000000003</v>
      </c>
      <c r="L25" s="62">
        <f>SUM(L10:L23)</f>
        <v>277</v>
      </c>
      <c r="M25" s="63">
        <f>SUM(L25*7)/2000</f>
        <v>0.96950000000000003</v>
      </c>
      <c r="N25" s="62">
        <f>SUM(N10:N23)</f>
        <v>9770</v>
      </c>
      <c r="O25" s="62">
        <f>SUM(O10:O23)</f>
        <v>22046</v>
      </c>
      <c r="P25" s="57">
        <f>SUM(N25,O25)*(5.6)/2000</f>
        <v>89.084799999999987</v>
      </c>
      <c r="Q25" s="62">
        <f>SUM(Q10:Q23)</f>
        <v>710</v>
      </c>
      <c r="R25" s="57">
        <f>SUM(Q25*7)/2000</f>
        <v>2.4849999999999999</v>
      </c>
      <c r="S25" s="62">
        <f>SUM(S10:S23)</f>
        <v>130</v>
      </c>
      <c r="T25" s="57">
        <f>SUM(S25*6.54)/2000</f>
        <v>0.42510000000000003</v>
      </c>
      <c r="U25" s="57">
        <f>SUM(C25,E25,G25,I25,K25,M25,P25,R25,T25)</f>
        <v>161.57606249999998</v>
      </c>
      <c r="V25" s="58">
        <f>SUM(U25/365)</f>
        <v>0.44267414383561637</v>
      </c>
      <c r="W25" s="64"/>
    </row>
    <row r="26" spans="1:23">
      <c r="E26" s="55"/>
      <c r="G26" s="55"/>
      <c r="I26" s="55"/>
      <c r="K26" s="55"/>
      <c r="P26" s="66"/>
      <c r="R26" s="66"/>
      <c r="T26" s="66"/>
      <c r="U26" s="66"/>
      <c r="V26" s="59"/>
      <c r="W26" s="59"/>
    </row>
    <row r="27" spans="1:23" s="65" customFormat="1">
      <c r="A27" s="65" t="s">
        <v>121</v>
      </c>
      <c r="B27" s="67">
        <f t="shared" ref="B27:V27" si="11">SUM(B11,B15,B16,B17)</f>
        <v>2791</v>
      </c>
      <c r="C27" s="68">
        <f t="shared" si="11"/>
        <v>9.9080499999999994</v>
      </c>
      <c r="D27" s="67">
        <f t="shared" si="11"/>
        <v>130</v>
      </c>
      <c r="E27" s="69">
        <f t="shared" si="11"/>
        <v>0.48749999999999999</v>
      </c>
      <c r="F27" s="67">
        <f t="shared" si="11"/>
        <v>0</v>
      </c>
      <c r="G27" s="69">
        <f t="shared" si="11"/>
        <v>0</v>
      </c>
      <c r="H27" s="67">
        <f t="shared" si="11"/>
        <v>425</v>
      </c>
      <c r="I27" s="69">
        <f t="shared" si="11"/>
        <v>1.4290625000000001</v>
      </c>
      <c r="J27" s="67">
        <f t="shared" si="11"/>
        <v>43</v>
      </c>
      <c r="K27" s="69">
        <f t="shared" si="11"/>
        <v>0.1376</v>
      </c>
      <c r="L27" s="67">
        <f t="shared" si="11"/>
        <v>21</v>
      </c>
      <c r="M27" s="68">
        <f t="shared" si="11"/>
        <v>7.3499999999999996E-2</v>
      </c>
      <c r="N27" s="67">
        <f t="shared" si="11"/>
        <v>1120</v>
      </c>
      <c r="O27" s="67">
        <f t="shared" si="11"/>
        <v>126</v>
      </c>
      <c r="P27" s="67">
        <f t="shared" si="11"/>
        <v>3.4887999999999995</v>
      </c>
      <c r="Q27" s="67">
        <f t="shared" si="11"/>
        <v>200</v>
      </c>
      <c r="R27" s="68">
        <f t="shared" si="11"/>
        <v>0.7</v>
      </c>
      <c r="S27" s="67">
        <f t="shared" si="11"/>
        <v>0</v>
      </c>
      <c r="T27" s="68">
        <f t="shared" si="11"/>
        <v>0</v>
      </c>
      <c r="U27" s="68">
        <f t="shared" si="11"/>
        <v>16.224512499999999</v>
      </c>
      <c r="V27" s="70">
        <f t="shared" si="11"/>
        <v>4.4450719178082188E-2</v>
      </c>
      <c r="W27" s="64"/>
    </row>
    <row r="28" spans="1:23" s="65" customFormat="1">
      <c r="A28" s="65" t="s">
        <v>120</v>
      </c>
      <c r="B28" s="67">
        <f t="shared" ref="B28:V28" si="12">SUM(B25-B27)</f>
        <v>14637</v>
      </c>
      <c r="C28" s="68">
        <f t="shared" si="12"/>
        <v>51.961349999999996</v>
      </c>
      <c r="D28" s="67">
        <f t="shared" si="12"/>
        <v>467</v>
      </c>
      <c r="E28" s="69">
        <f t="shared" si="12"/>
        <v>1.75125</v>
      </c>
      <c r="F28" s="67">
        <f t="shared" si="12"/>
        <v>165</v>
      </c>
      <c r="G28" s="69">
        <f t="shared" si="12"/>
        <v>0.65175000000000005</v>
      </c>
      <c r="H28" s="67">
        <f t="shared" si="12"/>
        <v>632</v>
      </c>
      <c r="I28" s="69">
        <f t="shared" si="12"/>
        <v>2.1250999999999998</v>
      </c>
      <c r="J28" s="67">
        <f t="shared" si="12"/>
        <v>50</v>
      </c>
      <c r="K28" s="69">
        <f t="shared" si="12"/>
        <v>0.16000000000000003</v>
      </c>
      <c r="L28" s="67">
        <f t="shared" si="12"/>
        <v>256</v>
      </c>
      <c r="M28" s="68">
        <f t="shared" si="12"/>
        <v>0.89600000000000002</v>
      </c>
      <c r="N28" s="67">
        <f t="shared" si="12"/>
        <v>8650</v>
      </c>
      <c r="O28" s="67">
        <f t="shared" si="12"/>
        <v>21920</v>
      </c>
      <c r="P28" s="67">
        <f t="shared" si="12"/>
        <v>85.595999999999989</v>
      </c>
      <c r="Q28" s="67">
        <f t="shared" si="12"/>
        <v>510</v>
      </c>
      <c r="R28" s="68">
        <f t="shared" si="12"/>
        <v>1.7849999999999999</v>
      </c>
      <c r="S28" s="67">
        <f t="shared" si="12"/>
        <v>130</v>
      </c>
      <c r="T28" s="68">
        <f t="shared" si="12"/>
        <v>0.42510000000000003</v>
      </c>
      <c r="U28" s="68">
        <f t="shared" si="12"/>
        <v>145.35154999999997</v>
      </c>
      <c r="V28" s="70">
        <f t="shared" si="12"/>
        <v>0.39822342465753419</v>
      </c>
      <c r="W28" s="64"/>
    </row>
    <row r="29" spans="1:23" s="65" customFormat="1">
      <c r="B29" s="67"/>
      <c r="C29" s="68"/>
      <c r="D29" s="67"/>
      <c r="E29" s="69"/>
      <c r="F29" s="67"/>
      <c r="G29" s="69"/>
      <c r="H29" s="67"/>
      <c r="I29" s="69"/>
      <c r="J29" s="67"/>
      <c r="K29" s="69"/>
      <c r="L29" s="67"/>
      <c r="M29" s="68"/>
      <c r="N29" s="67"/>
      <c r="O29" s="67"/>
      <c r="P29" s="67"/>
      <c r="Q29" s="67"/>
      <c r="R29" s="68"/>
      <c r="S29" s="67"/>
      <c r="T29" s="68"/>
      <c r="U29" s="68"/>
      <c r="V29" s="70"/>
      <c r="W29" s="64"/>
    </row>
    <row r="30" spans="1:23">
      <c r="E30" s="66"/>
      <c r="I30" s="66"/>
      <c r="K30" s="66"/>
      <c r="P30" s="66"/>
      <c r="U30" s="66"/>
      <c r="V30" s="59"/>
      <c r="W30" s="59"/>
    </row>
    <row r="31" spans="1:23" ht="13.5">
      <c r="E31" s="66"/>
      <c r="K31" s="71" t="s">
        <v>270</v>
      </c>
      <c r="L31" s="66"/>
      <c r="P31" s="66"/>
      <c r="R31" s="72"/>
      <c r="U31" s="66"/>
      <c r="V31" s="59"/>
      <c r="W31" s="59"/>
    </row>
    <row r="36" spans="11:11">
      <c r="K36" s="45"/>
    </row>
  </sheetData>
  <phoneticPr fontId="0" type="noConversion"/>
  <printOptions gridLines="1" gridLinesSet="0"/>
  <pageMargins left="0.25" right="0.25" top="0.5" bottom="0.5" header="0.25" footer="0.5"/>
  <pageSetup orientation="landscape" r:id="rId1"/>
  <headerFooter alignWithMargins="0"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31"/>
  <sheetViews>
    <sheetView workbookViewId="0">
      <selection sqref="A1:IV65536"/>
    </sheetView>
  </sheetViews>
  <sheetFormatPr defaultRowHeight="20.100000000000001" customHeight="1"/>
  <cols>
    <col min="1" max="1" width="5.28515625" style="1" customWidth="1"/>
    <col min="2" max="2" width="0.28515625" style="1" customWidth="1"/>
    <col min="3" max="3" width="8.140625" style="1" customWidth="1"/>
    <col min="4" max="4" width="5.7109375" style="1" customWidth="1"/>
    <col min="5" max="5" width="8.5703125" style="1" customWidth="1"/>
    <col min="6" max="6" width="5.85546875" style="1" customWidth="1"/>
    <col min="7" max="7" width="7.5703125" style="1" customWidth="1"/>
    <col min="8" max="8" width="7.28515625" style="1" customWidth="1"/>
    <col min="9" max="9" width="8.5703125" style="1" customWidth="1"/>
    <col min="10" max="10" width="5.85546875" style="1" customWidth="1"/>
    <col min="11" max="11" width="7.140625" style="1" customWidth="1"/>
    <col min="12" max="12" width="6.5703125" style="1" customWidth="1"/>
    <col min="13" max="13" width="8.7109375" style="1" customWidth="1"/>
    <col min="14" max="14" width="5.42578125" style="1" customWidth="1"/>
    <col min="15" max="15" width="8.5703125" style="1" customWidth="1"/>
    <col min="16" max="16" width="5.28515625" style="1" customWidth="1"/>
    <col min="17" max="17" width="0.28515625" style="1" customWidth="1"/>
    <col min="18" max="18" width="8.28515625" style="1" customWidth="1"/>
    <col min="19" max="19" width="6.85546875" style="1" customWidth="1"/>
    <col min="20" max="20" width="8.42578125" style="1" customWidth="1"/>
    <col min="21" max="21" width="6.7109375" style="1" customWidth="1"/>
    <col min="22" max="22" width="1.5703125" style="1" customWidth="1"/>
    <col min="23" max="23" width="10" style="1" bestFit="1" customWidth="1"/>
    <col min="24" max="16384" width="9.140625" style="1"/>
  </cols>
  <sheetData>
    <row r="1" spans="1:21" ht="20.100000000000001" customHeight="1">
      <c r="C1" s="2"/>
      <c r="F1" s="3" t="s">
        <v>394</v>
      </c>
      <c r="G1" s="2"/>
      <c r="H1" s="2"/>
    </row>
    <row r="2" spans="1:21" ht="21.75" customHeight="1">
      <c r="A2" s="1" t="s">
        <v>465</v>
      </c>
      <c r="B2" s="4"/>
      <c r="C2" s="4"/>
      <c r="D2" s="4"/>
      <c r="E2" s="4"/>
      <c r="F2" s="4"/>
      <c r="G2" s="5"/>
      <c r="H2" s="5"/>
      <c r="I2" s="4"/>
      <c r="J2" s="4"/>
      <c r="K2" s="4"/>
      <c r="L2" s="4"/>
      <c r="M2" s="6" t="s">
        <v>392</v>
      </c>
      <c r="N2" s="4"/>
      <c r="O2" s="6" t="s">
        <v>291</v>
      </c>
      <c r="P2" s="4"/>
      <c r="Q2" s="4"/>
      <c r="R2" s="4" t="s">
        <v>292</v>
      </c>
      <c r="S2" s="4"/>
    </row>
    <row r="3" spans="1:21" ht="18" customHeight="1">
      <c r="B3" s="4"/>
      <c r="C3" s="4"/>
      <c r="D3" s="4"/>
      <c r="E3" s="4" t="s">
        <v>293</v>
      </c>
      <c r="F3" s="4"/>
      <c r="G3" s="4"/>
      <c r="H3" s="4"/>
      <c r="I3" s="4"/>
      <c r="J3" s="4"/>
      <c r="K3" s="4" t="s">
        <v>294</v>
      </c>
      <c r="L3" s="4"/>
      <c r="M3" s="5" t="s">
        <v>295</v>
      </c>
      <c r="N3" s="4"/>
      <c r="O3" s="5" t="s">
        <v>295</v>
      </c>
      <c r="P3" s="4"/>
      <c r="Q3" s="4"/>
      <c r="R3" s="4" t="s">
        <v>386</v>
      </c>
      <c r="S3" s="4"/>
      <c r="T3" s="7" t="s">
        <v>11</v>
      </c>
      <c r="U3" s="7" t="s">
        <v>11</v>
      </c>
    </row>
    <row r="4" spans="1:21" ht="15" customHeight="1">
      <c r="A4" s="2"/>
      <c r="B4" s="4"/>
      <c r="C4" s="6" t="s">
        <v>296</v>
      </c>
      <c r="D4" s="4"/>
      <c r="E4" s="6" t="s">
        <v>297</v>
      </c>
      <c r="F4" s="4"/>
      <c r="G4" s="6" t="s">
        <v>70</v>
      </c>
      <c r="H4" s="4"/>
      <c r="I4" s="4" t="s">
        <v>298</v>
      </c>
      <c r="J4" s="4"/>
      <c r="K4" s="6" t="s">
        <v>299</v>
      </c>
      <c r="L4" s="4"/>
      <c r="M4" s="8" t="s">
        <v>393</v>
      </c>
      <c r="N4" s="4"/>
      <c r="O4" s="4"/>
      <c r="P4" s="4"/>
      <c r="Q4" s="4"/>
      <c r="R4" s="4" t="s">
        <v>300</v>
      </c>
      <c r="S4" s="4"/>
      <c r="T4" s="9" t="s">
        <v>301</v>
      </c>
      <c r="U4" s="9" t="s">
        <v>84</v>
      </c>
    </row>
    <row r="5" spans="1:21" s="10" customFormat="1" ht="14.25" customHeight="1">
      <c r="C5" s="2" t="s">
        <v>302</v>
      </c>
      <c r="E5" s="2" t="s">
        <v>302</v>
      </c>
      <c r="G5" s="2" t="s">
        <v>302</v>
      </c>
      <c r="I5" s="2" t="s">
        <v>302</v>
      </c>
      <c r="K5" s="2" t="s">
        <v>302</v>
      </c>
      <c r="M5" s="2" t="s">
        <v>303</v>
      </c>
      <c r="O5" s="2" t="s">
        <v>304</v>
      </c>
      <c r="R5" s="2" t="s">
        <v>305</v>
      </c>
      <c r="T5" s="11" t="s">
        <v>19</v>
      </c>
      <c r="U5" s="11" t="s">
        <v>19</v>
      </c>
    </row>
    <row r="6" spans="1:21" s="12" customFormat="1" ht="15" customHeight="1">
      <c r="B6" s="13"/>
      <c r="C6" s="13" t="s">
        <v>25</v>
      </c>
      <c r="D6" s="13" t="s">
        <v>26</v>
      </c>
      <c r="E6" s="13" t="s">
        <v>25</v>
      </c>
      <c r="F6" s="13" t="s">
        <v>26</v>
      </c>
      <c r="G6" s="13" t="s">
        <v>25</v>
      </c>
      <c r="H6" s="13" t="s">
        <v>26</v>
      </c>
      <c r="I6" s="13" t="s">
        <v>25</v>
      </c>
      <c r="J6" s="13" t="s">
        <v>26</v>
      </c>
      <c r="K6" s="13" t="s">
        <v>25</v>
      </c>
      <c r="L6" s="13" t="s">
        <v>26</v>
      </c>
      <c r="M6" s="13" t="s">
        <v>25</v>
      </c>
      <c r="N6" s="13" t="s">
        <v>26</v>
      </c>
      <c r="O6" s="13" t="s">
        <v>25</v>
      </c>
      <c r="P6" s="13" t="s">
        <v>26</v>
      </c>
      <c r="Q6" s="13"/>
      <c r="R6" s="13" t="s">
        <v>25</v>
      </c>
      <c r="S6" s="13" t="s">
        <v>26</v>
      </c>
      <c r="T6" s="13" t="s">
        <v>25</v>
      </c>
      <c r="U6" s="13" t="s">
        <v>26</v>
      </c>
    </row>
    <row r="7" spans="1:21" s="12" customFormat="1" ht="12" customHeight="1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2"/>
      <c r="N7" s="14"/>
      <c r="O7" s="14"/>
      <c r="P7" s="14"/>
      <c r="Q7" s="14"/>
    </row>
    <row r="8" spans="1:21" ht="20.100000000000001" customHeight="1">
      <c r="A8" s="1" t="s">
        <v>31</v>
      </c>
      <c r="B8" s="15"/>
      <c r="C8" s="16">
        <v>40.150241924374953</v>
      </c>
      <c r="D8" s="15">
        <v>0.12868667283453511</v>
      </c>
      <c r="E8" s="16">
        <v>638.67624000000001</v>
      </c>
      <c r="F8" s="15">
        <v>1.7497979178082192</v>
      </c>
      <c r="G8" s="17">
        <v>0.53003938931297701</v>
      </c>
      <c r="H8" s="18">
        <v>1.6988441965159519E-3</v>
      </c>
      <c r="I8" s="19">
        <v>3.9938938568783358</v>
      </c>
      <c r="J8" s="15">
        <v>1.536113021876283E-2</v>
      </c>
      <c r="K8" s="19">
        <v>125.83356345682321</v>
      </c>
      <c r="L8" s="15">
        <v>0.40331270338725389</v>
      </c>
      <c r="M8" s="20">
        <v>447.6086598</v>
      </c>
      <c r="N8" s="15">
        <v>1.6080522643561641</v>
      </c>
      <c r="O8" s="16">
        <v>34.43298940559567</v>
      </c>
      <c r="P8" s="15">
        <v>0.13747686335569839</v>
      </c>
      <c r="Q8" s="15"/>
      <c r="R8" s="21">
        <v>94.894860648838616</v>
      </c>
      <c r="S8" s="22">
        <v>0.37772648262039982</v>
      </c>
      <c r="T8" s="23">
        <f t="shared" ref="T8:U21" si="0">SUM(G8,C8,E8,I8,K8,M8,O8,R8)</f>
        <v>1386.1204884818237</v>
      </c>
      <c r="U8" s="24">
        <f t="shared" si="0"/>
        <v>4.4221128787775497</v>
      </c>
    </row>
    <row r="9" spans="1:21" s="2" customFormat="1" ht="20.100000000000001" customHeight="1">
      <c r="A9" s="2" t="s">
        <v>32</v>
      </c>
      <c r="B9" s="22"/>
      <c r="C9" s="25">
        <v>103.16544183483711</v>
      </c>
      <c r="D9" s="22">
        <v>0.33065846741934973</v>
      </c>
      <c r="E9" s="25">
        <v>386.15568000000002</v>
      </c>
      <c r="F9" s="22">
        <v>1.0579607671232878</v>
      </c>
      <c r="G9" s="26">
        <v>0.12691083969465647</v>
      </c>
      <c r="H9" s="27">
        <v>4.0676551184184767E-4</v>
      </c>
      <c r="I9" s="21">
        <v>35.809658479468467</v>
      </c>
      <c r="J9" s="22">
        <v>0.13772945569026335</v>
      </c>
      <c r="K9" s="21">
        <v>78.63355949999999</v>
      </c>
      <c r="L9" s="22">
        <v>0.25203063942307691</v>
      </c>
      <c r="M9" s="25">
        <v>270.35318360000002</v>
      </c>
      <c r="N9" s="22">
        <v>0.97118390734246574</v>
      </c>
      <c r="O9" s="25">
        <v>52.512192671135644</v>
      </c>
      <c r="P9" s="22">
        <v>0.2056589189699643</v>
      </c>
      <c r="Q9" s="22"/>
      <c r="R9" s="21">
        <v>50.750582106510777</v>
      </c>
      <c r="S9" s="22">
        <v>0.28980295625337754</v>
      </c>
      <c r="T9" s="28">
        <f t="shared" si="0"/>
        <v>977.50720903164665</v>
      </c>
      <c r="U9" s="29">
        <f t="shared" si="0"/>
        <v>3.2454318777336275</v>
      </c>
    </row>
    <row r="10" spans="1:21" s="2" customFormat="1" ht="20.100000000000001" customHeight="1">
      <c r="A10" s="2" t="s">
        <v>33</v>
      </c>
      <c r="B10" s="22"/>
      <c r="C10" s="25">
        <v>542.82814932157862</v>
      </c>
      <c r="D10" s="22">
        <v>1.7398338119281367</v>
      </c>
      <c r="E10" s="25">
        <v>1624.8091199999999</v>
      </c>
      <c r="F10" s="22">
        <v>4.4515318356164384</v>
      </c>
      <c r="G10" s="26">
        <v>0.83985114503816782</v>
      </c>
      <c r="H10" s="27">
        <v>2.6918305930710507E-3</v>
      </c>
      <c r="I10" s="21">
        <v>109.73054138982684</v>
      </c>
      <c r="J10" s="22">
        <v>0.42204054380702632</v>
      </c>
      <c r="K10" s="21">
        <v>315.96792522264758</v>
      </c>
      <c r="L10" s="22">
        <v>1.0127177090469475</v>
      </c>
      <c r="M10" s="25">
        <v>1147.7104374</v>
      </c>
      <c r="N10" s="22">
        <v>4.1254743147123296</v>
      </c>
      <c r="O10" s="25">
        <v>481.24141520127188</v>
      </c>
      <c r="P10" s="22">
        <v>1.9896460299959009</v>
      </c>
      <c r="Q10" s="22"/>
      <c r="R10" s="21">
        <v>172.18761577757923</v>
      </c>
      <c r="S10" s="22">
        <v>0.96894681006411265</v>
      </c>
      <c r="T10" s="28">
        <f t="shared" si="0"/>
        <v>4395.3150554579424</v>
      </c>
      <c r="U10" s="29">
        <f t="shared" si="0"/>
        <v>14.712882885763964</v>
      </c>
    </row>
    <row r="11" spans="1:21" s="2" customFormat="1" ht="20.100000000000001" customHeight="1">
      <c r="A11" s="2" t="s">
        <v>34</v>
      </c>
      <c r="B11" s="22"/>
      <c r="C11" s="25">
        <v>0.39018699634961079</v>
      </c>
      <c r="D11" s="22">
        <v>1.2505993472743935E-3</v>
      </c>
      <c r="E11" s="25">
        <v>49.627360000000003</v>
      </c>
      <c r="F11" s="22">
        <v>0.13596536986301372</v>
      </c>
      <c r="G11" s="26">
        <v>3.7326717557251907E-2</v>
      </c>
      <c r="H11" s="27">
        <v>1.1963691524760227E-4</v>
      </c>
      <c r="I11" s="21">
        <v>3.9938938568783358</v>
      </c>
      <c r="J11" s="22">
        <v>1.536113021876283E-2</v>
      </c>
      <c r="K11" s="21">
        <v>10.1057065</v>
      </c>
      <c r="L11" s="22">
        <v>3.2390084935897435E-2</v>
      </c>
      <c r="M11" s="25">
        <v>32.926062200000004</v>
      </c>
      <c r="N11" s="22">
        <v>0.11781784139726029</v>
      </c>
      <c r="O11" s="25">
        <v>2.0797551453354304</v>
      </c>
      <c r="P11" s="22">
        <v>8.2173391482075198E-3</v>
      </c>
      <c r="Q11" s="22"/>
      <c r="R11" s="21">
        <v>9.6554336986902207</v>
      </c>
      <c r="S11" s="22">
        <v>3.7995977811281598E-2</v>
      </c>
      <c r="T11" s="28">
        <f t="shared" si="0"/>
        <v>108.81572511481085</v>
      </c>
      <c r="U11" s="29">
        <f t="shared" si="0"/>
        <v>0.34911797963694546</v>
      </c>
    </row>
    <row r="12" spans="1:21" s="2" customFormat="1" ht="20.100000000000001" customHeight="1">
      <c r="A12" s="2" t="s">
        <v>35</v>
      </c>
      <c r="B12" s="22"/>
      <c r="C12" s="25">
        <v>757.19688511605477</v>
      </c>
      <c r="D12" s="22">
        <v>2.4269130933206884</v>
      </c>
      <c r="E12" s="25">
        <v>2216.8327999999997</v>
      </c>
      <c r="F12" s="22">
        <v>6.0735145205479446</v>
      </c>
      <c r="G12" s="26">
        <v>1.5154647328244273</v>
      </c>
      <c r="H12" s="27">
        <v>4.8572587590526512E-3</v>
      </c>
      <c r="I12" s="21">
        <v>118.32756714954799</v>
      </c>
      <c r="J12" s="22">
        <v>0.45510602749826151</v>
      </c>
      <c r="K12" s="21">
        <v>395.63739755444954</v>
      </c>
      <c r="L12" s="22">
        <v>1.268068581905287</v>
      </c>
      <c r="M12" s="25">
        <v>1511.8846060000001</v>
      </c>
      <c r="N12" s="22">
        <v>5.4209168027186516</v>
      </c>
      <c r="O12" s="25">
        <v>347.43835200091104</v>
      </c>
      <c r="P12" s="22">
        <v>1.3793026905423857</v>
      </c>
      <c r="Q12" s="22"/>
      <c r="R12" s="21">
        <v>240.03077141562332</v>
      </c>
      <c r="S12" s="22">
        <v>1.0815000509690391</v>
      </c>
      <c r="T12" s="28">
        <f t="shared" si="0"/>
        <v>5588.8638439694114</v>
      </c>
      <c r="U12" s="29">
        <f t="shared" si="0"/>
        <v>18.11017902626131</v>
      </c>
    </row>
    <row r="13" spans="1:21" s="2" customFormat="1" ht="20.100000000000001" customHeight="1">
      <c r="A13" s="2" t="s">
        <v>36</v>
      </c>
      <c r="B13" s="22"/>
      <c r="C13" s="25">
        <v>69.297210551690881</v>
      </c>
      <c r="D13" s="22">
        <v>0.2221064440759323</v>
      </c>
      <c r="E13" s="25">
        <v>211.93304000000001</v>
      </c>
      <c r="F13" s="22">
        <v>0.5806384657534247</v>
      </c>
      <c r="G13" s="26">
        <v>7.4653435114503813E-2</v>
      </c>
      <c r="H13" s="27">
        <v>2.3927383049520453E-4</v>
      </c>
      <c r="I13" s="21">
        <v>4.7385181352793815</v>
      </c>
      <c r="J13" s="22">
        <v>1.8225069751074543E-2</v>
      </c>
      <c r="K13" s="21">
        <v>43.156297250000001</v>
      </c>
      <c r="L13" s="22">
        <v>0.13832146554487179</v>
      </c>
      <c r="M13" s="25">
        <v>137.6187458</v>
      </c>
      <c r="N13" s="22">
        <v>0.49163349531506856</v>
      </c>
      <c r="O13" s="25">
        <v>48.942582675645674</v>
      </c>
      <c r="P13" s="22">
        <v>0.20264460168202503</v>
      </c>
      <c r="Q13" s="22"/>
      <c r="R13" s="21">
        <v>51.079750504887151</v>
      </c>
      <c r="S13" s="22">
        <v>0.26174430078554023</v>
      </c>
      <c r="T13" s="28">
        <f t="shared" si="0"/>
        <v>566.84079835261753</v>
      </c>
      <c r="U13" s="29">
        <f t="shared" si="0"/>
        <v>1.9155531167384323</v>
      </c>
    </row>
    <row r="14" spans="1:21" s="2" customFormat="1" ht="20.100000000000001" customHeight="1">
      <c r="A14" s="2" t="s">
        <v>37</v>
      </c>
      <c r="B14" s="22"/>
      <c r="C14" s="25">
        <v>421.9482178524691</v>
      </c>
      <c r="D14" s="22">
        <v>1.3523981341425291</v>
      </c>
      <c r="E14" s="25">
        <v>1372.7976799999999</v>
      </c>
      <c r="F14" s="22">
        <v>3.7610895342465751</v>
      </c>
      <c r="G14" s="26">
        <v>0.6830789312977098</v>
      </c>
      <c r="H14" s="27">
        <v>2.1893555490311209E-3</v>
      </c>
      <c r="I14" s="21">
        <v>208.76557041716592</v>
      </c>
      <c r="J14" s="22">
        <v>0.80294450160448427</v>
      </c>
      <c r="K14" s="21">
        <v>214.17688608137655</v>
      </c>
      <c r="L14" s="22">
        <v>0.68646437846595043</v>
      </c>
      <c r="M14" s="25">
        <v>970.96252359999994</v>
      </c>
      <c r="N14" s="22">
        <v>3.4904676288387781</v>
      </c>
      <c r="O14" s="25">
        <v>392.53822454081148</v>
      </c>
      <c r="P14" s="22">
        <v>1.5551866567285555</v>
      </c>
      <c r="Q14" s="22"/>
      <c r="R14" s="21">
        <v>161.87045760663142</v>
      </c>
      <c r="S14" s="22">
        <v>1.0012369995334303</v>
      </c>
      <c r="T14" s="28">
        <f t="shared" si="0"/>
        <v>3743.7426390297524</v>
      </c>
      <c r="U14" s="29">
        <f t="shared" si="0"/>
        <v>12.651977189109333</v>
      </c>
    </row>
    <row r="15" spans="1:21" s="2" customFormat="1" ht="20.100000000000001" customHeight="1">
      <c r="A15" s="2" t="s">
        <v>38</v>
      </c>
      <c r="B15" s="22"/>
      <c r="C15" s="25">
        <v>47.953981851367175</v>
      </c>
      <c r="D15" s="22">
        <v>0.15369865978002301</v>
      </c>
      <c r="E15" s="25">
        <v>467.15312</v>
      </c>
      <c r="F15" s="22">
        <v>1.2798715616438356</v>
      </c>
      <c r="G15" s="26">
        <v>8.2118778625954195E-2</v>
      </c>
      <c r="H15" s="27">
        <v>2.63201213544725E-4</v>
      </c>
      <c r="I15" s="21">
        <v>30.664981646879426</v>
      </c>
      <c r="J15" s="22">
        <v>0.11794223710338241</v>
      </c>
      <c r="K15" s="21">
        <v>80.654520351965289</v>
      </c>
      <c r="L15" s="22">
        <v>0.25850807805117082</v>
      </c>
      <c r="M15" s="25">
        <v>327.54569240000001</v>
      </c>
      <c r="N15" s="22">
        <v>1.1767584592328768</v>
      </c>
      <c r="O15" s="25">
        <v>78.710210997907041</v>
      </c>
      <c r="P15" s="22">
        <v>0.30639869982939333</v>
      </c>
      <c r="Q15" s="22"/>
      <c r="R15" s="21">
        <v>59.076999358145727</v>
      </c>
      <c r="S15" s="22">
        <v>0.33105513167844453</v>
      </c>
      <c r="T15" s="28">
        <f t="shared" si="0"/>
        <v>1091.8416253848904</v>
      </c>
      <c r="U15" s="29">
        <f t="shared" si="0"/>
        <v>3.6244960285326715</v>
      </c>
    </row>
    <row r="16" spans="1:21" ht="20.100000000000001" customHeight="1">
      <c r="A16" s="1" t="s">
        <v>39</v>
      </c>
      <c r="B16" s="15"/>
      <c r="C16" s="16">
        <v>1342.3603235415662</v>
      </c>
      <c r="D16" s="15">
        <v>4.3024369344280968</v>
      </c>
      <c r="E16" s="16">
        <v>4493.7861600000006</v>
      </c>
      <c r="F16" s="15">
        <v>12.311742904109591</v>
      </c>
      <c r="G16" s="17">
        <v>4.7927505343511445</v>
      </c>
      <c r="H16" s="18">
        <v>1.536137991779213E-2</v>
      </c>
      <c r="I16" s="19">
        <v>227.51656360962861</v>
      </c>
      <c r="J16" s="15">
        <v>0.87506370619087925</v>
      </c>
      <c r="K16" s="19">
        <v>858.6340786726646</v>
      </c>
      <c r="L16" s="15">
        <v>2.7520323034380274</v>
      </c>
      <c r="M16" s="16">
        <v>3140.2800631999999</v>
      </c>
      <c r="N16" s="15">
        <v>11.279266323620654</v>
      </c>
      <c r="O16" s="16">
        <v>615.43540686789379</v>
      </c>
      <c r="P16" s="15">
        <v>2.4803470426843388</v>
      </c>
      <c r="Q16" s="15"/>
      <c r="R16" s="21">
        <v>347.85097578716613</v>
      </c>
      <c r="S16" s="22">
        <v>1.9095133666063591</v>
      </c>
      <c r="T16" s="23">
        <f t="shared" si="0"/>
        <v>11030.656322213272</v>
      </c>
      <c r="U16" s="24">
        <f t="shared" si="0"/>
        <v>35.925763960995738</v>
      </c>
    </row>
    <row r="17" spans="1:23" ht="20.100000000000001" customHeight="1">
      <c r="A17" s="1" t="s">
        <v>40</v>
      </c>
      <c r="B17" s="15"/>
      <c r="C17" s="16">
        <v>0</v>
      </c>
      <c r="D17" s="15">
        <v>0</v>
      </c>
      <c r="E17" s="16">
        <v>30.020319999999998</v>
      </c>
      <c r="F17" s="15">
        <v>8.2247452054794515E-2</v>
      </c>
      <c r="G17" s="17">
        <v>0</v>
      </c>
      <c r="H17" s="18">
        <v>0</v>
      </c>
      <c r="I17" s="19">
        <v>0.67693116218276872</v>
      </c>
      <c r="J17" s="15">
        <v>2.603581393010649E-3</v>
      </c>
      <c r="K17" s="19">
        <v>6.1130905000000002</v>
      </c>
      <c r="L17" s="15">
        <v>1.9593238782051284E-2</v>
      </c>
      <c r="M17" s="16">
        <v>23.9724614</v>
      </c>
      <c r="N17" s="15">
        <v>8.6865907041095883E-2</v>
      </c>
      <c r="O17" s="16">
        <v>0.21812660829072394</v>
      </c>
      <c r="P17" s="15">
        <v>8.3894849342586132E-4</v>
      </c>
      <c r="Q17" s="15"/>
      <c r="R17" s="21">
        <v>6.162342092700853</v>
      </c>
      <c r="S17" s="22">
        <v>2.2648389257501796E-2</v>
      </c>
      <c r="T17" s="23">
        <f t="shared" si="0"/>
        <v>67.163271763174336</v>
      </c>
      <c r="U17" s="24">
        <f t="shared" si="0"/>
        <v>0.21479751702187999</v>
      </c>
    </row>
    <row r="18" spans="1:23" ht="20.100000000000001" customHeight="1">
      <c r="A18" s="1" t="s">
        <v>41</v>
      </c>
      <c r="B18" s="15"/>
      <c r="C18" s="16">
        <v>433.02952854879817</v>
      </c>
      <c r="D18" s="15">
        <v>1.3879151556051224</v>
      </c>
      <c r="E18" s="16">
        <v>1999.2905600000001</v>
      </c>
      <c r="F18" s="15">
        <v>5.477508383561644</v>
      </c>
      <c r="G18" s="17">
        <v>2.0417714503816793</v>
      </c>
      <c r="H18" s="18">
        <v>6.5441392640438441E-3</v>
      </c>
      <c r="I18" s="19">
        <v>113.25058343317724</v>
      </c>
      <c r="J18" s="15">
        <v>0.43557916705068167</v>
      </c>
      <c r="K18" s="19">
        <v>363.39946417781175</v>
      </c>
      <c r="L18" s="15">
        <v>1.1647418723647813</v>
      </c>
      <c r="M18" s="16">
        <v>1410.4897512</v>
      </c>
      <c r="N18" s="15">
        <v>5.0696029547481567</v>
      </c>
      <c r="O18" s="16">
        <v>244.73512030958875</v>
      </c>
      <c r="P18" s="15">
        <v>0.98845942609149928</v>
      </c>
      <c r="Q18" s="15"/>
      <c r="R18" s="21">
        <v>165.77068046146266</v>
      </c>
      <c r="S18" s="22">
        <v>1.1060775533950753</v>
      </c>
      <c r="T18" s="23">
        <f t="shared" si="0"/>
        <v>4732.0074595812202</v>
      </c>
      <c r="U18" s="24">
        <f t="shared" si="0"/>
        <v>15.636428652081001</v>
      </c>
    </row>
    <row r="19" spans="1:23" ht="20.100000000000001" customHeight="1">
      <c r="A19" s="1" t="s">
        <v>42</v>
      </c>
      <c r="B19" s="15"/>
      <c r="C19" s="16">
        <v>169.77036211171568</v>
      </c>
      <c r="D19" s="15">
        <v>0.54413577599908869</v>
      </c>
      <c r="E19" s="16">
        <v>1472.83384</v>
      </c>
      <c r="F19" s="15">
        <v>4.0351612054794517</v>
      </c>
      <c r="G19" s="17">
        <v>1.5901181679389313</v>
      </c>
      <c r="H19" s="18">
        <v>5.0965325895478567E-3</v>
      </c>
      <c r="I19" s="19">
        <v>90.031844570308238</v>
      </c>
      <c r="J19" s="15">
        <v>0.3462763252704163</v>
      </c>
      <c r="K19" s="19">
        <v>263.43250250182911</v>
      </c>
      <c r="L19" s="15">
        <v>0.84433494391611896</v>
      </c>
      <c r="M19" s="16">
        <v>1021.5163368</v>
      </c>
      <c r="N19" s="15">
        <v>3.667124758571128</v>
      </c>
      <c r="O19" s="16">
        <v>233.01586469820137</v>
      </c>
      <c r="P19" s="15">
        <v>0.91273872812049883</v>
      </c>
      <c r="Q19" s="15"/>
      <c r="R19" s="21">
        <v>278.27589157851827</v>
      </c>
      <c r="S19" s="22">
        <v>1.4522440089505588</v>
      </c>
      <c r="T19" s="23">
        <f t="shared" si="0"/>
        <v>3530.4667604285119</v>
      </c>
      <c r="U19" s="24">
        <f t="shared" si="0"/>
        <v>11.807112278896806</v>
      </c>
    </row>
    <row r="20" spans="1:23" ht="20.100000000000001" customHeight="1">
      <c r="A20" s="1" t="s">
        <v>43</v>
      </c>
      <c r="B20" s="15"/>
      <c r="C20" s="16">
        <v>69.882491046215307</v>
      </c>
      <c r="D20" s="15">
        <v>0.22398234309684392</v>
      </c>
      <c r="E20" s="16">
        <v>2163.55872</v>
      </c>
      <c r="F20" s="15">
        <v>5.9275581369863017</v>
      </c>
      <c r="G20" s="17">
        <v>1.5453261068702289</v>
      </c>
      <c r="H20" s="18">
        <v>4.9529682912507339E-3</v>
      </c>
      <c r="I20" s="19">
        <v>53.206789347565618</v>
      </c>
      <c r="J20" s="15">
        <v>0.20464149749063698</v>
      </c>
      <c r="K20" s="19">
        <v>436.64957608490727</v>
      </c>
      <c r="L20" s="15">
        <v>1.3995178720670105</v>
      </c>
      <c r="M20" s="16">
        <v>1532.2575794000002</v>
      </c>
      <c r="N20" s="15">
        <v>5.5087434268935729</v>
      </c>
      <c r="O20" s="16">
        <v>73.880313217417267</v>
      </c>
      <c r="P20" s="15">
        <v>0.2973392170100313</v>
      </c>
      <c r="Q20" s="15"/>
      <c r="R20" s="21">
        <v>171.00215925469485</v>
      </c>
      <c r="S20" s="22">
        <v>0.78952200804909789</v>
      </c>
      <c r="T20" s="23">
        <f t="shared" si="0"/>
        <v>4501.9829544576705</v>
      </c>
      <c r="U20" s="24">
        <f t="shared" si="0"/>
        <v>14.356257469884746</v>
      </c>
    </row>
    <row r="21" spans="1:23" ht="20.100000000000001" customHeight="1">
      <c r="A21" s="1" t="s">
        <v>117</v>
      </c>
      <c r="B21" s="15"/>
      <c r="C21" s="16">
        <v>534.12697930298225</v>
      </c>
      <c r="D21" s="15">
        <v>1.7119454464839174</v>
      </c>
      <c r="E21" s="16">
        <v>2371.6319199999998</v>
      </c>
      <c r="F21" s="15">
        <v>6.4976216986301365</v>
      </c>
      <c r="G21" s="17">
        <v>0.80998977099236624</v>
      </c>
      <c r="H21" s="18">
        <v>2.5961210608729688E-3</v>
      </c>
      <c r="I21" s="19">
        <v>242.27366294521295</v>
      </c>
      <c r="J21" s="15">
        <v>0.93182178055851139</v>
      </c>
      <c r="K21" s="19">
        <v>423.8427561455249</v>
      </c>
      <c r="L21" s="15">
        <v>1.3584703722612979</v>
      </c>
      <c r="M21" s="16">
        <v>1687.3230933999998</v>
      </c>
      <c r="N21" s="15">
        <v>6.0681659319726036</v>
      </c>
      <c r="O21" s="16">
        <v>450.02091073280042</v>
      </c>
      <c r="P21" s="15">
        <v>1.77679778546573</v>
      </c>
      <c r="Q21" s="15"/>
      <c r="R21" s="21">
        <v>227.31072883411525</v>
      </c>
      <c r="S21" s="22">
        <v>1.4076909764544394</v>
      </c>
      <c r="T21" s="23">
        <f t="shared" si="0"/>
        <v>5937.340041131627</v>
      </c>
      <c r="U21" s="24">
        <f t="shared" si="0"/>
        <v>19.755110112887508</v>
      </c>
    </row>
    <row r="22" spans="1:23" ht="9.75" customHeight="1">
      <c r="B22" s="15"/>
      <c r="C22" s="16"/>
      <c r="D22" s="15"/>
      <c r="E22" s="16"/>
      <c r="F22" s="15"/>
      <c r="G22" s="17"/>
      <c r="H22" s="18"/>
      <c r="I22" s="19"/>
      <c r="J22" s="15"/>
      <c r="K22" s="19"/>
      <c r="L22" s="15"/>
      <c r="M22" s="16"/>
      <c r="N22" s="15"/>
      <c r="O22" s="16"/>
      <c r="P22" s="15"/>
      <c r="Q22" s="15"/>
      <c r="R22" s="21"/>
      <c r="S22" s="22"/>
      <c r="T22" s="23"/>
      <c r="U22" s="24"/>
    </row>
    <row r="23" spans="1:23" s="4" customFormat="1" ht="20.100000000000001" customHeight="1">
      <c r="A23" s="4" t="s">
        <v>11</v>
      </c>
      <c r="B23" s="30">
        <f t="shared" ref="B23:O23" si="1">SUM(B8:B21)</f>
        <v>0</v>
      </c>
      <c r="C23" s="23">
        <f t="shared" si="1"/>
        <v>4532.0999999999995</v>
      </c>
      <c r="D23" s="30">
        <f t="shared" si="1"/>
        <v>14.525961538461537</v>
      </c>
      <c r="E23" s="23">
        <f t="shared" si="1"/>
        <v>19499.106559999997</v>
      </c>
      <c r="F23" s="30">
        <f t="shared" si="1"/>
        <v>53.422209753424653</v>
      </c>
      <c r="G23" s="31">
        <f>SUM(G8:G21)</f>
        <v>14.669399999999998</v>
      </c>
      <c r="H23" s="32">
        <f>SUM(H8:H21)</f>
        <v>4.7017307692307685E-2</v>
      </c>
      <c r="I23" s="33">
        <f t="shared" si="1"/>
        <v>1242.9810000000002</v>
      </c>
      <c r="J23" s="30">
        <f>SUM(I23/260)</f>
        <v>4.7806961538461543</v>
      </c>
      <c r="K23" s="33">
        <f t="shared" si="1"/>
        <v>3616.2373240000002</v>
      </c>
      <c r="L23" s="30">
        <f t="shared" si="1"/>
        <v>11.590504243589743</v>
      </c>
      <c r="M23" s="23">
        <f>SUM(M8:M21)</f>
        <v>13662.449196199999</v>
      </c>
      <c r="N23" s="30">
        <f>SUM(N8:N21)</f>
        <v>49.082074016760799</v>
      </c>
      <c r="O23" s="23">
        <f t="shared" si="1"/>
        <v>3055.2014650728061</v>
      </c>
      <c r="P23" s="30">
        <f>SUM(P8:P21)</f>
        <v>12.241052948117654</v>
      </c>
      <c r="Q23" s="30">
        <f>SUM(Q8:Q21)</f>
        <v>0</v>
      </c>
      <c r="R23" s="28">
        <f>SUM(R8:R21)</f>
        <v>2035.9192491255642</v>
      </c>
      <c r="S23" s="34">
        <f>SUM(S8:S21)</f>
        <v>11.037705012428656</v>
      </c>
      <c r="T23" s="23">
        <f>SUM(G23,C23,E23,I23,K23,M23,O23,R23)</f>
        <v>47658.66419439837</v>
      </c>
      <c r="U23" s="24">
        <f>SUM(H23,D23,F23,J23,L23,N23,P23,S23)</f>
        <v>156.72722097432151</v>
      </c>
      <c r="W23" s="30"/>
    </row>
    <row r="24" spans="1:23" s="4" customFormat="1" ht="9.75" customHeight="1">
      <c r="B24" s="30"/>
      <c r="C24" s="30"/>
      <c r="D24" s="30"/>
      <c r="E24" s="30"/>
      <c r="F24" s="30"/>
      <c r="G24" s="30"/>
      <c r="H24" s="30"/>
      <c r="I24" s="30"/>
      <c r="J24" s="30"/>
      <c r="K24" s="33"/>
      <c r="L24" s="30"/>
      <c r="M24" s="23"/>
      <c r="N24" s="30"/>
      <c r="O24" s="35"/>
      <c r="P24" s="30"/>
      <c r="Q24" s="30"/>
      <c r="R24" s="36"/>
      <c r="S24" s="37"/>
      <c r="T24" s="35"/>
      <c r="U24" s="30"/>
    </row>
    <row r="25" spans="1:23" s="4" customFormat="1" ht="20.100000000000001" customHeight="1">
      <c r="A25" s="4" t="s">
        <v>121</v>
      </c>
      <c r="B25" s="33">
        <f t="shared" ref="B25:U25" si="2">SUM(B9,B13,B14,B15)</f>
        <v>0</v>
      </c>
      <c r="C25" s="33">
        <f t="shared" si="2"/>
        <v>642.36485209036425</v>
      </c>
      <c r="D25" s="30">
        <f t="shared" si="2"/>
        <v>2.0588617054178342</v>
      </c>
      <c r="E25" s="33">
        <f t="shared" si="2"/>
        <v>2438.0395199999998</v>
      </c>
      <c r="F25" s="30">
        <f t="shared" si="2"/>
        <v>6.6795603287671232</v>
      </c>
      <c r="G25" s="33">
        <f>SUM(G9,G13,G14,G15)</f>
        <v>0.96676198473282426</v>
      </c>
      <c r="H25" s="30">
        <f>SUM(H9,H13,H14,H15)</f>
        <v>3.0985961049128981E-3</v>
      </c>
      <c r="I25" s="33">
        <f t="shared" si="2"/>
        <v>279.97872867879317</v>
      </c>
      <c r="J25" s="30">
        <f t="shared" si="2"/>
        <v>1.0768412641492047</v>
      </c>
      <c r="K25" s="30">
        <f t="shared" si="2"/>
        <v>416.62126318334185</v>
      </c>
      <c r="L25" s="30">
        <f>SUM(L23*0.15)</f>
        <v>1.7385756365384615</v>
      </c>
      <c r="M25" s="23">
        <f t="shared" si="2"/>
        <v>1706.4801453999999</v>
      </c>
      <c r="N25" s="30">
        <f t="shared" si="2"/>
        <v>6.1300434907291894</v>
      </c>
      <c r="O25" s="35">
        <f t="shared" si="2"/>
        <v>572.70321088549986</v>
      </c>
      <c r="P25" s="30">
        <f t="shared" si="2"/>
        <v>2.2698888772099384</v>
      </c>
      <c r="Q25" s="33">
        <f t="shared" si="2"/>
        <v>0</v>
      </c>
      <c r="R25" s="35">
        <f t="shared" si="2"/>
        <v>322.77778957617505</v>
      </c>
      <c r="S25" s="30">
        <f t="shared" si="2"/>
        <v>1.8838393882507924</v>
      </c>
      <c r="T25" s="30">
        <f t="shared" si="2"/>
        <v>6379.9322717989071</v>
      </c>
      <c r="U25" s="30">
        <f t="shared" si="2"/>
        <v>21.437458212114063</v>
      </c>
      <c r="W25" s="35"/>
    </row>
    <row r="26" spans="1:23" s="4" customFormat="1" ht="20.100000000000001" customHeight="1">
      <c r="A26" s="4" t="s">
        <v>120</v>
      </c>
      <c r="B26" s="38">
        <f t="shared" ref="B26:U26" si="3">SUM(B23-B25)</f>
        <v>0</v>
      </c>
      <c r="C26" s="38">
        <f t="shared" si="3"/>
        <v>3889.7351479096351</v>
      </c>
      <c r="D26" s="30">
        <f t="shared" si="3"/>
        <v>12.467099833043703</v>
      </c>
      <c r="E26" s="38">
        <f t="shared" si="3"/>
        <v>17061.067039999998</v>
      </c>
      <c r="F26" s="30">
        <f t="shared" si="3"/>
        <v>46.742649424657529</v>
      </c>
      <c r="G26" s="38">
        <f>SUM(G23-G25)</f>
        <v>13.702638015267173</v>
      </c>
      <c r="H26" s="30">
        <f>SUM(H23-H25)</f>
        <v>4.3918711587394785E-2</v>
      </c>
      <c r="I26" s="33">
        <f t="shared" si="3"/>
        <v>963.00227132120699</v>
      </c>
      <c r="J26" s="30">
        <f t="shared" si="3"/>
        <v>3.7038548896969496</v>
      </c>
      <c r="K26" s="30">
        <f t="shared" si="3"/>
        <v>3199.6160608166583</v>
      </c>
      <c r="L26" s="30">
        <f>SUM(L23*0.85)</f>
        <v>9.8519286070512813</v>
      </c>
      <c r="M26" s="23">
        <f t="shared" si="3"/>
        <v>11955.969050799999</v>
      </c>
      <c r="N26" s="30">
        <f t="shared" si="3"/>
        <v>42.952030526031606</v>
      </c>
      <c r="O26" s="35">
        <f t="shared" si="3"/>
        <v>2482.498254187306</v>
      </c>
      <c r="P26" s="30">
        <f t="shared" si="3"/>
        <v>9.9711640709077152</v>
      </c>
      <c r="Q26" s="38">
        <f t="shared" si="3"/>
        <v>0</v>
      </c>
      <c r="R26" s="35">
        <f t="shared" si="3"/>
        <v>1713.1414595493891</v>
      </c>
      <c r="S26" s="30">
        <f t="shared" si="3"/>
        <v>9.1538656241778646</v>
      </c>
      <c r="T26" s="30">
        <f t="shared" si="3"/>
        <v>41278.731922599465</v>
      </c>
      <c r="U26" s="30">
        <f t="shared" si="3"/>
        <v>135.28976276220746</v>
      </c>
      <c r="W26" s="39"/>
    </row>
    <row r="27" spans="1:23" ht="20.100000000000001" customHeight="1">
      <c r="G27" s="4"/>
    </row>
    <row r="28" spans="1:23" ht="20.100000000000001" customHeight="1">
      <c r="J28" s="40"/>
    </row>
    <row r="31" spans="1:23" ht="20.100000000000001" customHeight="1">
      <c r="L31" s="1" t="s">
        <v>467</v>
      </c>
    </row>
  </sheetData>
  <phoneticPr fontId="0" type="noConversion"/>
  <printOptions gridLines="1" gridLinesSet="0"/>
  <pageMargins left="0.25" right="0.25" top="0.5" bottom="0.25" header="0.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Degreasing-cleaning</vt:lpstr>
      <vt:lpstr>Non-ind-coat</vt:lpstr>
      <vt:lpstr>Indus-coat</vt:lpstr>
      <vt:lpstr>Misc-Solvents</vt:lpstr>
      <vt:lpstr>Agric pest</vt:lpstr>
      <vt:lpstr>Spills</vt:lpstr>
      <vt:lpstr>Total-Solvents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</dc:creator>
  <cp:lastModifiedBy>MWERT</cp:lastModifiedBy>
  <cp:lastPrinted>2014-12-02T22:08:43Z</cp:lastPrinted>
  <dcterms:created xsi:type="dcterms:W3CDTF">1999-06-16T19:57:41Z</dcterms:created>
  <dcterms:modified xsi:type="dcterms:W3CDTF">2015-06-17T16:20:04Z</dcterms:modified>
</cp:coreProperties>
</file>